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13_ncr:1_{593692AE-5DB6-44BF-9920-ACE83F1C2FED}"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租金" sheetId="82" r:id="rId27"/>
    <sheet name="案例"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1" sheetId="80" state="hidden"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修正!$C$19:$C$51</definedName>
    <definedName name="法定最高年限" localSheetId="27">[1]定义!$G$1:$G$6</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修正!$C$71:$C$138</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20" i="1" l="1"/>
  <c r="M19" i="1"/>
  <c r="D22" i="82"/>
  <c r="L52" i="67" l="1"/>
  <c r="B14" i="74"/>
  <c r="K5" i="82"/>
  <c r="J5" i="82"/>
  <c r="E59" i="21"/>
  <c r="F59" i="21"/>
  <c r="G59" i="21"/>
  <c r="H59" i="21"/>
  <c r="I59" i="21"/>
  <c r="J59" i="21"/>
  <c r="K59" i="21"/>
  <c r="L59" i="21"/>
  <c r="M59" i="21"/>
  <c r="N59" i="21"/>
  <c r="O59" i="21"/>
  <c r="P59" i="21"/>
  <c r="D59" i="21"/>
  <c r="M47" i="81"/>
  <c r="N47" i="81"/>
  <c r="O47" i="81"/>
  <c r="P47" i="81"/>
  <c r="N43" i="81"/>
  <c r="O43" i="81"/>
  <c r="P43" i="81"/>
  <c r="P44" i="81" s="1"/>
  <c r="N44" i="81"/>
  <c r="O44" i="81"/>
  <c r="P37" i="81"/>
  <c r="P38" i="81" s="1"/>
  <c r="N37" i="81"/>
  <c r="N38" i="81" s="1"/>
  <c r="O38" i="81" s="1"/>
  <c r="O37" i="81"/>
  <c r="M43" i="81"/>
  <c r="C47" i="81"/>
  <c r="M37" i="81"/>
  <c r="L37" i="81"/>
  <c r="K37" i="81"/>
  <c r="J37" i="81"/>
  <c r="I37" i="81"/>
  <c r="H37" i="81"/>
  <c r="G37" i="81"/>
  <c r="F37" i="81"/>
  <c r="E37" i="81"/>
  <c r="D37" i="81"/>
  <c r="D38" i="81" s="1"/>
  <c r="I27" i="21"/>
  <c r="G27" i="21"/>
  <c r="E27" i="21"/>
  <c r="P58" i="21"/>
  <c r="I47" i="21"/>
  <c r="G47" i="21"/>
  <c r="E47" i="21"/>
  <c r="I33" i="21"/>
  <c r="G33" i="21"/>
  <c r="E33" i="21"/>
  <c r="I7" i="21"/>
  <c r="G7" i="21"/>
  <c r="E7" i="21"/>
  <c r="G12" i="81"/>
  <c r="G11" i="81"/>
  <c r="G10" i="81"/>
  <c r="G9" i="81"/>
  <c r="G8" i="81"/>
  <c r="G7" i="81"/>
  <c r="C33" i="21"/>
  <c r="Y6" i="1"/>
  <c r="D14" i="9"/>
  <c r="L7" i="1"/>
  <c r="I7" i="1"/>
  <c r="N7" i="1"/>
  <c r="G20" i="6"/>
  <c r="I13" i="3"/>
  <c r="F19" i="6" s="1"/>
  <c r="K16" i="80"/>
  <c r="D43" i="81" l="1"/>
  <c r="D44" i="81" s="1"/>
  <c r="E38" i="81"/>
  <c r="I7" i="79"/>
  <c r="F38" i="81" l="1"/>
  <c r="E43" i="81"/>
  <c r="E44" i="81" s="1"/>
  <c r="I29" i="79"/>
  <c r="I28" i="79"/>
  <c r="N28" i="79"/>
  <c r="M28" i="79"/>
  <c r="P28" i="79" s="1"/>
  <c r="L28" i="79"/>
  <c r="N29" i="79"/>
  <c r="M29" i="79"/>
  <c r="L29" i="79"/>
  <c r="O6" i="79"/>
  <c r="N6" i="79"/>
  <c r="M6" i="79"/>
  <c r="P6" i="79" s="1"/>
  <c r="L6" i="79"/>
  <c r="K6" i="79"/>
  <c r="O7" i="79"/>
  <c r="N7" i="79"/>
  <c r="M7" i="79"/>
  <c r="P7" i="79" s="1"/>
  <c r="L7" i="79"/>
  <c r="K7" i="79"/>
  <c r="F43" i="81" l="1"/>
  <c r="F44" i="81" s="1"/>
  <c r="G38" i="81"/>
  <c r="D47" i="81"/>
  <c r="P29" i="79"/>
  <c r="F47" i="81" l="1"/>
  <c r="E47" i="81"/>
  <c r="G43" i="81"/>
  <c r="G44" i="81" s="1"/>
  <c r="H38" i="81"/>
  <c r="G14" i="73"/>
  <c r="F14" i="73"/>
  <c r="E14" i="73"/>
  <c r="H43" i="81" l="1"/>
  <c r="H44" i="81" s="1"/>
  <c r="I38" i="81"/>
  <c r="G47" i="8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J38" i="81" l="1"/>
  <c r="I43" i="81"/>
  <c r="I44" i="81" s="1"/>
  <c r="H47" i="81"/>
  <c r="P32" i="79"/>
  <c r="B10" i="74"/>
  <c r="J43" i="81" l="1"/>
  <c r="J44" i="81" s="1"/>
  <c r="K38"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K43" i="81" l="1"/>
  <c r="K44" i="81" s="1"/>
  <c r="L38" i="81"/>
  <c r="I47" i="81"/>
  <c r="C7" i="78"/>
  <c r="C6" i="78"/>
  <c r="C5" i="78"/>
  <c r="F13" i="1"/>
  <c r="D13" i="1"/>
  <c r="D12" i="1"/>
  <c r="D11" i="1"/>
  <c r="D10" i="1"/>
  <c r="D9" i="1"/>
  <c r="D8" i="1"/>
  <c r="D7" i="1"/>
  <c r="D6" i="1"/>
  <c r="L43" i="81" l="1"/>
  <c r="L44" i="81" s="1"/>
  <c r="M38" i="81"/>
  <c r="M44" i="81" s="1"/>
  <c r="J47" i="81"/>
  <c r="I2" i="43"/>
  <c r="M1" i="43" s="1"/>
  <c r="L47" i="81" l="1"/>
  <c r="K47"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U26" i="21" s="1"/>
  <c r="AB19" i="21"/>
  <c r="J19" i="21"/>
  <c r="W19" i="21" s="1"/>
  <c r="J12" i="21"/>
  <c r="AC12" i="21" s="1"/>
  <c r="H12" i="21"/>
  <c r="J26" i="21"/>
  <c r="W26" i="21" s="1"/>
  <c r="F26" i="21"/>
  <c r="S26" i="21" s="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9" i="15"/>
  <c r="M9" i="67"/>
  <c r="C76" i="15"/>
  <c r="L47" i="67"/>
  <c r="F26" i="67"/>
  <c r="F5" i="73"/>
  <c r="M8" i="15"/>
  <c r="B11" i="76"/>
  <c r="C76" i="67"/>
  <c r="E13" i="76"/>
  <c r="M9" i="15"/>
  <c r="D34" i="9"/>
  <c r="E7" i="76"/>
  <c r="F13" i="67"/>
  <c r="M6" i="15"/>
  <c r="D5" i="73"/>
  <c r="F36" i="67"/>
  <c r="E11" i="76"/>
  <c r="AO13" i="1"/>
  <c r="B7" i="76"/>
  <c r="M8" i="67"/>
  <c r="F37" i="15"/>
  <c r="B8" i="76"/>
  <c r="F6" i="67"/>
  <c r="B9" i="76"/>
  <c r="E9" i="76"/>
  <c r="B10" i="76"/>
  <c r="F6" i="73"/>
  <c r="F4" i="73"/>
  <c r="E2" i="68"/>
  <c r="F13" i="15"/>
  <c r="E2" i="69"/>
  <c r="L48" i="15"/>
  <c r="M24" i="15"/>
  <c r="F43" i="67"/>
  <c r="F9" i="67"/>
  <c r="F7" i="73"/>
  <c r="F16" i="67"/>
  <c r="L48" i="67"/>
  <c r="F7" i="67"/>
  <c r="M26" i="15"/>
  <c r="E10" i="76"/>
  <c r="M22" i="15"/>
  <c r="F20" i="31"/>
  <c r="M6" i="67"/>
  <c r="D35" i="9"/>
  <c r="B13" i="76"/>
  <c r="D7" i="73"/>
  <c r="F42" i="15"/>
  <c r="M23" i="15"/>
  <c r="E12" i="76"/>
  <c r="F7" i="15"/>
  <c r="F42" i="67"/>
  <c r="F16" i="15"/>
  <c r="M24" i="67"/>
  <c r="F43" i="15"/>
  <c r="B12" i="76"/>
  <c r="J15" i="15"/>
  <c r="F6" i="15"/>
  <c r="F38" i="15"/>
  <c r="L47" i="15"/>
  <c r="F3" i="73"/>
  <c r="F40" i="15"/>
  <c r="M28" i="15"/>
  <c r="J15" i="67"/>
  <c r="M23" i="67"/>
  <c r="F36" i="15"/>
  <c r="F38" i="67"/>
  <c r="F8" i="15"/>
  <c r="E8" i="76"/>
  <c r="F26" i="15"/>
  <c r="M29" i="67"/>
  <c r="M29" i="15"/>
  <c r="AC26" i="21" l="1"/>
  <c r="AC27" i="21"/>
  <c r="U27" i="21"/>
  <c r="AB26" i="21"/>
  <c r="C28" i="67"/>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D9" i="69"/>
  <c r="C36" i="69"/>
  <c r="D9" i="68"/>
  <c r="D3" i="73"/>
  <c r="F8" i="67"/>
  <c r="C16" i="67"/>
  <c r="M22" i="67"/>
  <c r="M26" i="67"/>
  <c r="D4" i="73"/>
  <c r="C16" i="15"/>
  <c r="D6" i="73"/>
  <c r="F40" i="67"/>
  <c r="M28" i="67"/>
  <c r="F37" i="67"/>
  <c r="C36" i="68" l="1"/>
  <c r="H7" i="36"/>
  <c r="J7" i="36"/>
  <c r="I24" i="43"/>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G54" i="34" s="1"/>
  <c r="H54" i="34" s="1"/>
  <c r="U7" i="34"/>
  <c r="AA7" i="34"/>
  <c r="R49" i="34" s="1"/>
  <c r="E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F41" i="67"/>
  <c r="M27" i="67"/>
  <c r="F69" i="67" l="1"/>
  <c r="I53" i="34"/>
  <c r="J53" i="34" s="1"/>
  <c r="G41" i="36"/>
  <c r="H41" i="36" s="1"/>
  <c r="AA10" i="40"/>
  <c r="W10" i="40"/>
  <c r="U10" i="40"/>
  <c r="AB10" i="39"/>
  <c r="C42" i="43"/>
  <c r="E42" i="43" s="1"/>
  <c r="T14" i="43"/>
  <c r="V14" i="43" s="1"/>
  <c r="T15" i="43"/>
  <c r="V15" i="43" s="1"/>
  <c r="T3" i="43"/>
  <c r="V3" i="43" s="1"/>
  <c r="C37" i="43"/>
  <c r="G37" i="43" s="1"/>
  <c r="I37" i="43" s="1"/>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37"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7" i="67"/>
  <c r="C14" i="67"/>
  <c r="E38" i="43" l="1"/>
  <c r="G41" i="43"/>
  <c r="I41" i="43" s="1"/>
  <c r="G40" i="43"/>
  <c r="I40" i="43" s="1"/>
  <c r="G39" i="43"/>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G52" i="21"/>
  <c r="H52" i="21" s="1"/>
  <c r="F7" i="35"/>
  <c r="M21" i="67"/>
  <c r="F35" i="67"/>
  <c r="F35" i="15"/>
  <c r="M21" i="15"/>
  <c r="Q70" i="67" l="1"/>
  <c r="W7" i="35"/>
  <c r="C7" i="69"/>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6" i="76"/>
  <c r="D2" i="21"/>
  <c r="L51" i="67"/>
  <c r="Q69" i="67" l="1"/>
  <c r="Q68" i="67" s="1"/>
  <c r="C28" i="69"/>
  <c r="C27" i="69" s="1"/>
  <c r="C25" i="69"/>
  <c r="C22" i="69" s="1"/>
  <c r="B2" i="76"/>
  <c r="B3" i="76" s="1"/>
  <c r="B3" i="43"/>
  <c r="D11" i="71"/>
  <c r="C10" i="71"/>
  <c r="C80" i="67"/>
  <c r="C79" i="67" s="1"/>
  <c r="C40" i="67"/>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C45" i="67" l="1"/>
  <c r="C46" i="67" s="1"/>
  <c r="C83" i="67"/>
  <c r="C82" i="67" s="1"/>
  <c r="C31" i="69"/>
  <c r="C52" i="69" s="1"/>
  <c r="C57" i="69" s="1"/>
  <c r="C56" i="69" s="1"/>
  <c r="D102" i="9"/>
  <c r="D21" i="9"/>
  <c r="B3" i="21"/>
  <c r="D10" i="71"/>
  <c r="C9" i="71"/>
  <c r="L57" i="67"/>
  <c r="L60" i="67" s="1"/>
  <c r="L46" i="67" s="1"/>
  <c r="D2" i="67" s="1"/>
  <c r="B2" i="67" s="1"/>
  <c r="Q67" i="67"/>
  <c r="Q65" i="67"/>
  <c r="B2" i="33"/>
  <c r="B3" i="33" s="1"/>
  <c r="Q47" i="67"/>
  <c r="Q53" i="67" s="1"/>
  <c r="Q56" i="67"/>
  <c r="C43" i="67"/>
  <c r="C80" i="15"/>
  <c r="C79" i="15" s="1"/>
  <c r="C40" i="15"/>
  <c r="C46" i="15" s="1"/>
  <c r="H7" i="39"/>
  <c r="J7" i="39"/>
  <c r="S7" i="39"/>
  <c r="AA7" i="39"/>
  <c r="R47" i="39" s="1"/>
  <c r="O63" i="40"/>
  <c r="O65" i="40" s="1"/>
  <c r="N65" i="40"/>
  <c r="L51" i="15"/>
  <c r="D2" i="36"/>
  <c r="D2" i="34"/>
  <c r="D20" i="9"/>
  <c r="D2" i="37"/>
  <c r="D2" i="35"/>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11" i="1"/>
  <c r="AO10" i="1"/>
  <c r="C19" i="9"/>
  <c r="AO12" i="1"/>
  <c r="AO9" i="1"/>
  <c r="C20" i="9"/>
  <c r="AO7" i="1"/>
  <c r="C102" i="9" l="1"/>
  <c r="D22" i="9"/>
  <c r="C21" i="9"/>
  <c r="G19" i="9"/>
  <c r="G21" i="9" s="1"/>
  <c r="G20" i="9"/>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9" i="52" l="1"/>
  <c r="D123" i="9"/>
  <c r="D54" i="9"/>
  <c r="C68" i="9"/>
  <c r="B22" i="72"/>
  <c r="D6" i="53"/>
  <c r="C73" i="9"/>
  <c r="C78" i="9"/>
  <c r="B51" i="72"/>
  <c r="F4" i="52"/>
  <c r="C86" i="9"/>
  <c r="C93" i="9"/>
  <c r="B21" i="72"/>
  <c r="D7" i="53"/>
  <c r="C97" i="9"/>
  <c r="D58" i="9"/>
  <c r="D56" i="9"/>
  <c r="M54" i="9"/>
  <c r="D119" i="9"/>
  <c r="D5" i="52"/>
  <c r="B49" i="72"/>
  <c r="B32" i="72"/>
  <c r="D14" i="53"/>
  <c r="D13" i="53"/>
  <c r="B30" i="72"/>
  <c r="C6" i="74"/>
  <c r="E97" i="9"/>
  <c r="E96" i="9"/>
  <c r="C85" i="9"/>
  <c r="C95" i="9"/>
  <c r="C96" i="9"/>
  <c r="B52" i="72"/>
  <c r="G4" i="52"/>
  <c r="P57" i="9"/>
  <c r="N58" i="9"/>
  <c r="B47" i="72"/>
  <c r="D118" i="9"/>
  <c r="D4" i="52"/>
  <c r="C64" i="9"/>
  <c r="C63" i="9"/>
  <c r="C67" i="9"/>
  <c r="D59" i="9"/>
  <c r="M55" i="9"/>
  <c r="C81" i="9"/>
  <c r="H108" i="9"/>
  <c r="D15" i="53"/>
  <c r="B31" i="72"/>
  <c r="C72" i="9"/>
  <c r="C79" i="9"/>
  <c r="C80" i="9"/>
  <c r="E80" i="9"/>
  <c r="E81" i="9"/>
  <c r="C104" i="9"/>
  <c r="H4" i="52"/>
  <c r="C105" i="9"/>
  <c r="I4" i="52"/>
  <c r="N60" i="9"/>
  <c r="D55" i="9"/>
  <c r="M53" i="9"/>
  <c r="N57" i="9"/>
  <c r="N59" i="9"/>
  <c r="N61" i="9"/>
  <c r="H107" i="9"/>
  <c r="D122" i="9"/>
  <c r="D8" i="52"/>
  <c r="H119" i="9"/>
  <c r="H5" i="52"/>
  <c r="E118" i="9"/>
  <c r="E4" i="52"/>
  <c r="B48" i="72"/>
  <c r="M48" i="9"/>
  <c r="H102" i="9"/>
  <c r="C5" i="74"/>
  <c r="G118" i="9"/>
  <c r="F118" i="9"/>
  <c r="F119" i="9"/>
  <c r="F5" i="52"/>
  <c r="B53" i="72"/>
  <c r="D5" i="53"/>
  <c r="B20"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<sst xmlns="http://schemas.openxmlformats.org/spreadsheetml/2006/main" count="7932" uniqueCount="3452">
  <si>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</si>
  <si>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</si>
  <si>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</si>
  <si>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</si>
  <si>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</si>
  <si>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</si>
  <si>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</si>
  <si>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</si>
  <si>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</si>
  <si>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</si>
  <si>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</si>
  <si>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</si>
  <si>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</si>
  <si>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</si>
  <si>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</si>
  <si>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</si>
  <si>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</si>
  <si>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</si>
  <si>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</si>
  <si>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</si>
  <si>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</si>
  <si>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</si>
  <si>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</si>
  <si>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</si>
  <si>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</si>
  <si>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</si>
  <si>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</si>
  <si>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</si>
  <si>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</si>
  <si>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</si>
  <si>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</si>
  <si>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</si>
  <si>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</si>
  <si>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</si>
  <si>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</si>
  <si>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</si>
  <si>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</si>
  <si>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</si>
  <si>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</si>
  <si>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</si>
  <si>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</si>
  <si>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</si>
  <si>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</si>
  <si>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</si>
  <si>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</si>
  <si>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</si>
  <si>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</si>
  <si>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</si>
  <si>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</si>
  <si>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</si>
  <si>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</si>
  <si>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</si>
  <si>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</si>
  <si>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</si>
  <si>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</si>
  <si>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</si>
  <si>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</si>
  <si>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</si>
  <si>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</si>
  <si>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</si>
  <si>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</si>
  <si>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</si>
  <si>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</si>
  <si>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</si>
  <si>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</si>
  <si>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</si>
  <si>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</si>
  <si>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</si>
  <si>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</si>
  <si>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</si>
  <si>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</si>
  <si>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</si>
  <si>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</si>
  <si>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</si>
  <si>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</si>
  <si>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</si>
  <si>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</si>
  <si>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</si>
  <si>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</si>
  <si>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</si>
  <si>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</si>
  <si>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</si>
  <si>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</si>
  <si>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</si>
  <si>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</si>
  <si>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</si>
  <si>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</si>
  <si>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</si>
  <si>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</si>
  <si>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</si>
  <si>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</si>
  <si>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</si>
  <si>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</si>
  <si>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</si>
  <si>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</si>
  <si>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</si>
  <si>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</si>
  <si>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</si>
  <si>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</si>
  <si>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</si>
  <si>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</si>
  <si>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</si>
  <si>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</si>
  <si>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</si>
  <si>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</si>
  <si>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</si>
  <si>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</si>
  <si>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</si>
  <si>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</si>
  <si>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</si>
  <si>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</si>
  <si>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</si>
  <si>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</si>
  <si>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</si>
  <si>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</si>
  <si>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</si>
  <si>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</si>
  <si>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</si>
  <si>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</si>
  <si>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</si>
  <si>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</si>
  <si>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</si>
  <si>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</si>
  <si>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</si>
  <si>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</si>
  <si>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</si>
  <si>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</si>
  <si>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</si>
  <si>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</si>
  <si>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</si>
  <si>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</si>
  <si>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</si>
  <si>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</si>
  <si>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</si>
  <si>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</si>
  <si>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</si>
  <si>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</si>
  <si>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</si>
  <si>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</si>
  <si>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</si>
  <si>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</si>
  <si>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</si>
  <si>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</si>
  <si>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</si>
  <si>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</si>
  <si>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</si>
  <si>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</si>
  <si>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</si>
  <si>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</si>
  <si>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</si>
  <si>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</si>
  <si>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</si>
  <si>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</si>
  <si>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</si>
  <si>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</si>
  <si>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</si>
  <si>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</si>
  <si>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</si>
  <si>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</si>
  <si>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</si>
  <si>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</si>
  <si>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</si>
  <si>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</si>
  <si>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</si>
  <si>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</si>
  <si>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</si>
  <si>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</si>
  <si>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</si>
  <si>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</si>
  <si>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</si>
  <si>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</si>
  <si>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</si>
  <si>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</si>
  <si>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</si>
  <si>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</si>
  <si>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</si>
  <si>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</si>
  <si>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</si>
  <si>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</si>
  <si>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</si>
  <si>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</si>
  <si>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</si>
  <si>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</si>
  <si>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</si>
  <si>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</si>
  <si>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</si>
  <si>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</si>
  <si>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</si>
  <si>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</si>
  <si>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</si>
  <si>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</si>
  <si>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</si>
  <si>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</si>
  <si>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</si>
  <si>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</si>
  <si>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</si>
  <si>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</si>
  <si>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</si>
  <si>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</si>
  <si>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</si>
  <si>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</si>
  <si>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</si>
  <si>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</si>
  <si>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</si>
  <si>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</si>
  <si>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</si>
  <si>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</si>
  <si>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</si>
  <si>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</si>
  <si>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</si>
  <si>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</si>
  <si>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</si>
  <si>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</si>
  <si>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</si>
  <si>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</si>
  <si>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</si>
  <si>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</si>
  <si>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</si>
  <si>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</si>
  <si>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</si>
  <si>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</si>
  <si>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</si>
  <si>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</si>
  <si>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</si>
  <si>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</si>
  <si>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</si>
  <si>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</si>
  <si>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</si>
  <si>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</si>
  <si>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</si>
  <si>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</si>
  <si>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</si>
  <si>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</si>
  <si>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</si>
  <si>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</si>
  <si>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</si>
  <si>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</si>
  <si>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</si>
  <si>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</si>
  <si>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</si>
  <si>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</si>
  <si>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</si>
  <si>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</si>
  <si>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</si>
  <si>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</si>
  <si>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</si>
  <si>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</si>
  <si>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</si>
  <si>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</si>
  <si>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</si>
  <si>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</si>
  <si>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</si>
  <si>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</si>
  <si>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</si>
  <si>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</si>
  <si>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</si>
  <si>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</si>
  <si>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</si>
  <si>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</si>
  <si>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</si>
  <si>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</si>
  <si>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</si>
  <si>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</si>
  <si>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</si>
  <si>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</si>
  <si>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</si>
  <si>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</si>
  <si>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</si>
  <si>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</si>
  <si>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</si>
  <si>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</si>
  <si>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</si>
  <si>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</si>
  <si>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</si>
  <si>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</si>
  <si>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</si>
  <si>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</si>
  <si>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</si>
  <si>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</si>
  <si>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</si>
  <si>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</si>
  <si>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</si>
  <si>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</si>
  <si>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</si>
  <si>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</si>
  <si>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</si>
  <si>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</si>
  <si>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</si>
  <si>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</si>
  <si>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</si>
  <si>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</si>
  <si>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</si>
  <si>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</si>
  <si>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</si>
  <si>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</si>
  <si>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</si>
  <si>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</si>
  <si>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</si>
  <si>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</si>
  <si>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</si>
  <si>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</si>
  <si>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</si>
  <si>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</si>
  <si>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</si>
  <si>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</si>
  <si>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</si>
  <si>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</si>
  <si>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</si>
  <si>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</si>
  <si>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</si>
  <si>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</si>
  <si>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</si>
  <si>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</si>
  <si>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</si>
  <si>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</si>
  <si>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</si>
  <si>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</si>
  <si>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</si>
  <si>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</si>
  <si>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</si>
  <si>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</si>
  <si>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</si>
  <si>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</si>
  <si>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</si>
  <si>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</si>
  <si>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</si>
  <si>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</si>
  <si>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</si>
  <si>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</si>
  <si>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</si>
  <si>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</si>
  <si>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</si>
  <si>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</si>
  <si>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</si>
  <si>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</si>
  <si>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</si>
  <si>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</si>
  <si>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</si>
  <si>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</si>
  <si>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</si>
  <si>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</si>
  <si>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</si>
  <si>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</si>
  <si>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</si>
  <si>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</si>
  <si>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</si>
  <si>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</si>
  <si>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</si>
  <si>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</si>
  <si>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</si>
  <si>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</si>
  <si>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</si>
  <si>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</si>
  <si>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</si>
  <si>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</si>
  <si>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</si>
  <si>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</si>
  <si>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</si>
  <si>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</si>
  <si>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</si>
  <si>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</si>
  <si>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</si>
  <si>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</si>
  <si>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</si>
  <si>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</si>
  <si>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</si>
  <si>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</si>
  <si>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</si>
  <si>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</si>
  <si>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</si>
  <si>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</si>
  <si>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</si>
  <si>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</si>
  <si>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</si>
  <si>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</si>
  <si>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</si>
  <si>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</si>
  <si>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</si>
  <si>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</si>
  <si>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</si>
  <si>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</si>
  <si>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</si>
  <si>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</si>
  <si>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</si>
  <si>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</si>
  <si>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</si>
  <si>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</si>
  <si>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</si>
  <si>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</si>
  <si>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</si>
  <si>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</si>
  <si>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</si>
  <si>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</si>
  <si>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</si>
  <si>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</si>
  <si>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</si>
  <si>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</si>
  <si>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</si>
  <si>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</si>
  <si>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</si>
  <si>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</si>
  <si>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</si>
  <si>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</si>
  <si>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</si>
  <si>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</si>
  <si>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</si>
  <si>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</si>
  <si>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</si>
  <si>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</si>
  <si>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</si>
  <si>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</si>
  <si>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</si>
  <si>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</si>
  <si>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</si>
  <si>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</si>
  <si>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</si>
  <si>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</si>
  <si>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</si>
  <si>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</si>
  <si>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</si>
  <si>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</si>
  <si>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</si>
  <si>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</si>
  <si>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</si>
  <si>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</si>
  <si>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</si>
  <si>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</si>
  <si>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</si>
  <si>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</si>
  <si>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</si>
  <si>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</si>
  <si>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</si>
  <si>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</si>
  <si>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</si>
  <si>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</si>
  <si>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</si>
  <si>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</si>
  <si>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</si>
  <si>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</si>
  <si>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</si>
  <si>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</si>
  <si>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</si>
  <si>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</si>
  <si>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</si>
  <si>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</si>
  <si>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</si>
  <si>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</si>
  <si>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</si>
  <si>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</si>
  <si>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</si>
  <si>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</si>
  <si>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</si>
  <si>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</si>
  <si>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</si>
  <si>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</si>
  <si>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</si>
  <si>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</si>
  <si>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</si>
  <si>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</si>
  <si>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</si>
  <si>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</si>
  <si>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</si>
  <si>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</si>
  <si>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</si>
  <si>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</si>
  <si>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</si>
  <si>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</si>
  <si>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</si>
  <si>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</si>
  <si>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</si>
  <si>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</si>
  <si>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</si>
  <si>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</si>
  <si>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</si>
  <si>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</si>
  <si>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</si>
  <si>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</si>
  <si>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</si>
  <si>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</si>
  <si>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</si>
  <si>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</si>
  <si>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</si>
  <si>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</si>
  <si>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</si>
  <si>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</si>
  <si>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</si>
  <si>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</si>
  <si>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</si>
  <si>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</si>
  <si>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</si>
  <si>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</si>
  <si>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</si>
  <si>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</si>
  <si>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</si>
  <si>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</si>
  <si>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</si>
  <si>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</si>
  <si>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</si>
  <si>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</si>
  <si>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</si>
  <si>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</si>
  <si>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</si>
  <si>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</si>
  <si>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</si>
  <si>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</si>
  <si>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</si>
  <si>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</si>
  <si>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</si>
  <si>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</si>
  <si>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</si>
  <si>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</si>
  <si>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</si>
  <si>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</si>
  <si>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</si>
  <si>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</si>
  <si>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</si>
  <si>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</si>
  <si>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</si>
  <si>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</si>
  <si>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</si>
  <si>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</si>
  <si>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</si>
  <si>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</si>
  <si>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</si>
  <si>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</si>
  <si>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</si>
  <si>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</si>
  <si>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</si>
  <si>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</si>
  <si>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</si>
  <si>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</si>
  <si>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</si>
  <si>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</si>
  <si>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</si>
  <si>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</si>
  <si>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</si>
  <si>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</si>
  <si>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</si>
  <si>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</si>
  <si>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</si>
  <si>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</si>
  <si>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</si>
  <si>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</si>
  <si>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</si>
  <si>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</si>
  <si>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</si>
  <si>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</si>
  <si>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</si>
  <si>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</si>
  <si>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</si>
  <si>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</si>
  <si>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</si>
  <si>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</si>
  <si>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</si>
  <si>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</si>
  <si>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</si>
  <si>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</si>
  <si>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</si>
  <si>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</si>
  <si>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</si>
  <si>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</si>
  <si>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</si>
  <si>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</si>
  <si>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</si>
  <si>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</si>
  <si>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</si>
  <si>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</si>
  <si>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</si>
  <si>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</si>
  <si>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</si>
  <si>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</si>
  <si>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</si>
  <si>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</si>
  <si>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</si>
  <si>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</si>
  <si>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</si>
  <si>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</si>
  <si>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</si>
  <si>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</si>
  <si>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</si>
  <si>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</si>
  <si>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</si>
  <si>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</si>
  <si>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</si>
  <si>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</si>
  <si>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</si>
  <si>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</si>
  <si>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</si>
  <si>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</si>
  <si>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</si>
  <si>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</si>
  <si>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</si>
  <si>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</si>
  <si>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</si>
  <si>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</si>
  <si>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</si>
  <si>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</si>
  <si>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</si>
  <si>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</si>
  <si>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</si>
  <si>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</si>
  <si>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</si>
  <si>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</si>
  <si>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</si>
  <si>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</si>
  <si>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</si>
  <si>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</si>
  <si>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</si>
  <si>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</si>
  <si>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</si>
  <si>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</si>
  <si>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</si>
  <si>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</si>
  <si>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</si>
  <si>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</si>
  <si>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</si>
  <si>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</si>
  <si>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</si>
  <si>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</si>
  <si>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</si>
  <si>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</si>
  <si>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</si>
  <si>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</si>
  <si>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</si>
  <si>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</si>
  <si>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</si>
  <si>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</si>
  <si>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</si>
  <si>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</si>
  <si>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</si>
  <si>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</si>
  <si>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</si>
  <si>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</si>
  <si>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</si>
  <si>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</si>
  <si>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</si>
  <si>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</si>
  <si>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</si>
  <si>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</si>
  <si>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</si>
  <si>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</si>
  <si>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</si>
  <si>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</si>
  <si>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</si>
  <si>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</si>
  <si>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</si>
  <si>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</si>
  <si>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</si>
  <si>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</si>
  <si>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</si>
  <si>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</si>
  <si>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</si>
  <si>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</si>
  <si>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</si>
  <si>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</si>
  <si>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</si>
  <si>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</si>
  <si>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</si>
  <si>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</si>
  <si>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</si>
  <si>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</si>
  <si>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</si>
  <si>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</si>
  <si>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</si>
  <si>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</si>
  <si>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</si>
  <si>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</si>
  <si>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</si>
  <si>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</si>
  <si>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</si>
  <si>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</si>
  <si>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</si>
  <si>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</si>
  <si>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</si>
  <si>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</si>
  <si>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</si>
  <si>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</si>
  <si>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</si>
  <si>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</si>
  <si>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</si>
  <si>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</si>
  <si>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</si>
  <si>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</si>
  <si>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</si>
  <si>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</si>
  <si>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</si>
  <si>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</si>
  <si>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</si>
  <si>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</si>
  <si>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</si>
  <si>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</si>
  <si>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</si>
  <si>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</si>
  <si>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</si>
  <si>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</si>
  <si>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</si>
  <si>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</si>
  <si>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</si>
  <si>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</si>
  <si>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</si>
  <si>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</si>
  <si>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</si>
  <si>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</si>
  <si>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</si>
  <si>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</si>
  <si>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</si>
  <si>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</si>
  <si>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</si>
  <si>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</si>
  <si>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</si>
  <si>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</si>
  <si>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</si>
  <si>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</si>
  <si>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</si>
  <si>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</si>
  <si>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</si>
  <si>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</si>
  <si>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</si>
  <si>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</si>
  <si>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</si>
  <si>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</si>
  <si>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</si>
  <si>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</si>
  <si>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</si>
  <si>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</si>
  <si>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</si>
  <si>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</si>
  <si>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</si>
  <si>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</si>
  <si>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</si>
  <si>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</si>
  <si>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</si>
  <si>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</si>
  <si>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</si>
  <si>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</si>
  <si>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</si>
  <si>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</si>
  <si>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</si>
  <si>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</si>
  <si>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</si>
  <si>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</si>
  <si>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</si>
  <si>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</si>
  <si>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</si>
  <si>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</si>
  <si>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</si>
  <si>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</si>
  <si>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</si>
  <si>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</si>
  <si>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</si>
  <si>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</si>
  <si>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</si>
  <si>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</si>
  <si>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</si>
  <si>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</si>
  <si>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</si>
  <si>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</si>
  <si>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</si>
  <si>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</si>
  <si>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</si>
  <si>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</si>
  <si>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</si>
  <si>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</si>
  <si>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</si>
  <si>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</si>
  <si>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</si>
  <si>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</si>
  <si>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</si>
  <si>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</si>
  <si>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</si>
  <si>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</si>
  <si>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</si>
  <si>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</si>
  <si>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</si>
  <si>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</si>
  <si>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</si>
  <si>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</si>
  <si>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</si>
  <si>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</si>
  <si>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</si>
  <si>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</si>
  <si>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</si>
  <si>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</si>
  <si>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</si>
  <si>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</si>
  <si>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</si>
  <si>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</si>
  <si>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</si>
  <si>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</si>
  <si>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</si>
  <si>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</si>
  <si>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</si>
  <si>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</si>
  <si>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</si>
  <si>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</si>
  <si>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</si>
  <si>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</si>
  <si>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</si>
  <si>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</si>
  <si>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</si>
  <si>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</si>
  <si>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</si>
  <si>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</si>
  <si>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</si>
  <si>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</si>
  <si>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</si>
  <si>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</si>
  <si>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</si>
  <si>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</si>
  <si>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</si>
  <si>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</si>
  <si>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</si>
  <si>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</si>
  <si>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</si>
  <si>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</si>
  <si>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</si>
  <si>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</si>
  <si>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</si>
  <si>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</si>
  <si>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</si>
  <si>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</si>
  <si>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</si>
  <si>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</si>
  <si>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</si>
  <si>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</si>
  <si>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</si>
  <si>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</si>
  <si>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</si>
  <si>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</si>
  <si>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</si>
  <si>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</si>
  <si>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</si>
  <si>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</si>
  <si>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</si>
  <si>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</si>
  <si>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</si>
  <si>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</si>
  <si>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</si>
  <si>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</si>
  <si>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</si>
  <si>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</si>
  <si>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</si>
  <si>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</si>
  <si>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</si>
  <si>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</si>
  <si>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</si>
  <si>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</si>
  <si>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</si>
  <si>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</si>
  <si>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</si>
  <si>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</si>
  <si>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</si>
  <si>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</si>
  <si>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</si>
  <si>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</si>
  <si>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</si>
  <si>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</si>
  <si>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</si>
  <si>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</si>
  <si>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</si>
  <si>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</si>
  <si>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</si>
  <si>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</si>
  <si>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</si>
  <si>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</si>
  <si>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</si>
  <si>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</si>
  <si>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</si>
  <si>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</si>
  <si>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</si>
  <si>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</si>
  <si>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</si>
  <si>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</si>
  <si>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</si>
  <si>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</si>
  <si>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</si>
  <si>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</si>
  <si>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</si>
  <si>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</si>
  <si>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</si>
  <si>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</si>
  <si>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</si>
  <si>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</si>
  <si>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</si>
  <si>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</si>
  <si>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</si>
  <si>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</si>
  <si>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</si>
  <si>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</si>
  <si>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</si>
  <si>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</si>
  <si>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</si>
  <si>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</si>
  <si>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</si>
  <si>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</si>
  <si>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</si>
  <si>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</si>
  <si>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</si>
  <si>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</si>
  <si>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</si>
  <si>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</si>
  <si>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</si>
  <si>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</si>
  <si>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</si>
  <si>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</si>
  <si>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</si>
  <si>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</si>
  <si>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</si>
  <si>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</si>
  <si>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</si>
  <si>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</si>
  <si>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</si>
  <si>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</si>
  <si>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</si>
  <si>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</si>
  <si>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</si>
  <si>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</si>
  <si>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</si>
  <si>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</si>
  <si>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</si>
  <si>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</si>
  <si>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</si>
  <si>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</si>
  <si>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</si>
  <si>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</si>
  <si>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</si>
  <si>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</si>
  <si>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</si>
  <si>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</si>
  <si>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</si>
  <si>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</si>
  <si>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</si>
  <si>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</si>
  <si>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</si>
  <si>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</si>
  <si>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</si>
  <si>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</si>
  <si>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</si>
  <si>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</si>
  <si>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</si>
  <si>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</si>
  <si>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</si>
  <si>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</si>
  <si>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</si>
  <si>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</si>
  <si>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</si>
  <si>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</si>
  <si>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</si>
  <si>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</si>
  <si>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</si>
  <si>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</si>
  <si>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</si>
  <si>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</si>
  <si>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</si>
  <si>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</si>
  <si>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</si>
  <si>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</si>
  <si>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</si>
  <si>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</si>
  <si>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</si>
  <si>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</si>
  <si>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</si>
  <si>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</si>
  <si>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</si>
  <si>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</si>
  <si>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</si>
  <si>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</si>
  <si>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</si>
  <si>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</si>
  <si>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</si>
  <si>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</si>
  <si>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</si>
  <si>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</si>
  <si>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</si>
  <si>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</si>
  <si>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</si>
  <si>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</si>
  <si>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</si>
  <si>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</si>
  <si>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</si>
  <si>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</si>
  <si>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</si>
  <si>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</si>
  <si>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</si>
  <si>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</si>
  <si>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</si>
  <si>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</si>
  <si>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</si>
  <si>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</si>
  <si>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</si>
  <si>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</si>
  <si>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</si>
  <si>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</si>
  <si>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</si>
  <si>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</si>
  <si>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</si>
  <si>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</si>
  <si>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</si>
  <si>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</si>
  <si>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</si>
  <si>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</si>
  <si>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</si>
  <si>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</si>
  <si>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</si>
  <si>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</si>
  <si>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</si>
  <si>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</si>
  <si>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</si>
  <si>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</si>
  <si>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</si>
  <si>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</si>
  <si>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</si>
  <si>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</si>
  <si>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</si>
  <si>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</si>
  <si>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</si>
  <si>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</si>
  <si>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</si>
  <si>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</si>
  <si>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</si>
  <si>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</si>
  <si>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</si>
  <si>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</si>
  <si>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</si>
  <si>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</si>
  <si>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</si>
  <si>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</si>
  <si>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</si>
  <si>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</si>
  <si>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</si>
  <si>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</si>
  <si>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</si>
  <si>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</si>
  <si>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</si>
  <si>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</si>
  <si>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</si>
  <si>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</si>
  <si>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</si>
  <si>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</si>
  <si>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</si>
  <si>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</si>
  <si>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</si>
  <si>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</si>
  <si>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</si>
  <si>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</si>
  <si>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</si>
  <si>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</si>
  <si>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</si>
  <si>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</si>
  <si>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</si>
  <si>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</si>
  <si>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</si>
  <si>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</si>
  <si>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</si>
  <si>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</si>
  <si>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</si>
  <si>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</si>
  <si>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</si>
  <si>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</si>
  <si>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</si>
  <si>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</si>
  <si>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</si>
  <si>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</si>
  <si>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</si>
  <si>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</si>
  <si>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</si>
  <si>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</si>
  <si>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</si>
  <si>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</si>
  <si>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</si>
  <si>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</si>
  <si>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</si>
  <si>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</si>
  <si>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</si>
  <si>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</si>
  <si>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</si>
  <si>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</si>
  <si>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</si>
  <si>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</si>
  <si>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</si>
  <si>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</si>
  <si>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</si>
  <si>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</si>
  <si>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</si>
  <si>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</si>
  <si>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</si>
  <si>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</si>
  <si>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</si>
  <si>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</si>
  <si>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</si>
  <si>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</si>
  <si>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</si>
  <si>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</si>
  <si>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</si>
  <si>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</si>
  <si>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</si>
  <si>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</si>
  <si>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</si>
  <si>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</si>
  <si>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</si>
  <si>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</si>
  <si>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</si>
  <si>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</si>
  <si>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</si>
  <si>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</si>
  <si>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</si>
  <si>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</si>
  <si>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</si>
  <si>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</si>
  <si>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</si>
  <si>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</si>
  <si>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</si>
  <si>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</si>
  <si>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</si>
  <si>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</si>
  <si>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</si>
  <si>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</si>
  <si>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</si>
  <si>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</si>
  <si>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</si>
  <si>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</si>
  <si>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</si>
  <si>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</si>
  <si>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</si>
  <si>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</si>
  <si>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</si>
  <si>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</si>
  <si>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</si>
  <si>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</si>
  <si>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</si>
  <si>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</si>
  <si>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</si>
  <si>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</si>
  <si>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</si>
  <si>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</si>
  <si>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</si>
  <si>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</si>
  <si>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</si>
  <si>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</si>
  <si>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</si>
  <si>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</si>
  <si>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</si>
  <si>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</si>
  <si>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</si>
  <si>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</si>
  <si>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</si>
  <si>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</si>
  <si>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</si>
  <si>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</si>
  <si>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</si>
  <si>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</si>
  <si>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</si>
  <si>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</si>
  <si>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</si>
  <si>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</si>
  <si>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</si>
  <si>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</si>
  <si>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</si>
  <si>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</si>
  <si>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</si>
  <si>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</si>
  <si>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</si>
  <si>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</si>
  <si>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</si>
  <si>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</si>
  <si>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</si>
  <si>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</si>
  <si>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</si>
  <si>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</si>
  <si>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</si>
  <si>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</si>
  <si>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</si>
  <si>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</si>
  <si>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</si>
  <si>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</si>
  <si>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</si>
  <si>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</si>
  <si>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</si>
  <si>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</si>
  <si>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</si>
  <si>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</si>
  <si>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</si>
  <si>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</si>
  <si>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</si>
  <si>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</si>
  <si>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</si>
  <si>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</si>
  <si>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</si>
  <si>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</si>
  <si>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</si>
  <si>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</si>
  <si>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</si>
  <si>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</si>
  <si>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</si>
  <si>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</si>
  <si>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</si>
  <si>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</si>
  <si>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</si>
  <si>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</si>
  <si>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</si>
  <si>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</si>
  <si>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</si>
  <si>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</si>
  <si>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</si>
  <si>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</si>
  <si>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</si>
  <si>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</si>
  <si>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</si>
  <si>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</si>
  <si>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</si>
  <si>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</si>
  <si>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</si>
  <si>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</si>
  <si>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</si>
  <si>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</si>
  <si>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</si>
  <si>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</si>
  <si>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</si>
  <si>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</si>
  <si>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</si>
  <si>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</si>
  <si>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</si>
  <si>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</si>
  <si>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</si>
  <si>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</si>
  <si>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</si>
  <si>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</si>
  <si>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</si>
  <si>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</si>
  <si>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</si>
  <si>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</si>
  <si>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</si>
  <si>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</si>
  <si>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</si>
  <si>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</si>
  <si>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</si>
  <si>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</si>
  <si>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</si>
  <si>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</si>
  <si>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</si>
  <si>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</si>
  <si>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</si>
  <si>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</si>
  <si>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</si>
  <si>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</si>
  <si>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</si>
  <si>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</si>
  <si>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</si>
  <si>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</si>
  <si>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</si>
  <si>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</si>
  <si>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</si>
  <si>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</si>
  <si>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</si>
  <si>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</si>
  <si>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</si>
  <si>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</si>
  <si>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</si>
  <si>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</si>
  <si>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</si>
  <si>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</si>
  <si>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</si>
  <si>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</si>
  <si>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</si>
  <si>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</si>
  <si>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</si>
  <si>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</si>
  <si>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</si>
  <si>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</si>
  <si>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</si>
  <si>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</si>
  <si>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</si>
  <si>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</si>
  <si>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</si>
  <si>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</si>
  <si>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</si>
  <si>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</si>
  <si>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</si>
  <si>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</si>
  <si>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</si>
  <si>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</si>
  <si>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</si>
  <si>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</si>
  <si>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</si>
  <si>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</si>
  <si>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</si>
  <si>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</si>
  <si>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</si>
  <si>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</si>
  <si>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</si>
  <si>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</si>
  <si>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</si>
  <si>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</si>
  <si>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</si>
  <si>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</si>
  <si>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</si>
  <si>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</si>
  <si>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</si>
  <si>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</si>
  <si>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</si>
  <si>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</si>
  <si>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</si>
  <si>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</si>
  <si>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</si>
  <si>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</si>
  <si>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</si>
  <si>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</si>
  <si>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</si>
  <si>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</si>
  <si>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</si>
  <si>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</si>
  <si>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</si>
  <si>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</si>
  <si>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</si>
  <si>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</si>
  <si>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</si>
  <si>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</si>
  <si>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</si>
  <si>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</si>
  <si>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</si>
  <si>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</si>
  <si>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</si>
  <si>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</si>
  <si>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</si>
  <si>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</si>
  <si>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</si>
  <si>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</si>
  <si>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</si>
  <si>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</si>
  <si>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</si>
  <si>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</si>
  <si>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</si>
  <si>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</si>
  <si>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</si>
  <si>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</si>
  <si>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</si>
  <si>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</si>
  <si>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</si>
  <si>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</si>
  <si>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</si>
  <si>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</si>
  <si>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</si>
  <si>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</si>
  <si>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</si>
  <si>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</si>
  <si>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</si>
  <si>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</si>
  <si>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</si>
  <si>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</si>
  <si>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</si>
  <si>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</si>
  <si>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</si>
  <si>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</si>
  <si>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</si>
  <si>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</si>
  <si>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</si>
  <si>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</si>
  <si>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</si>
  <si>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</si>
  <si>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</si>
  <si>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</si>
  <si>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</si>
  <si>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</si>
  <si>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</si>
  <si>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</si>
  <si>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</si>
  <si>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</si>
  <si>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</si>
  <si>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</si>
  <si>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</si>
  <si>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</si>
  <si>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</si>
  <si>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</si>
  <si>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</si>
  <si>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</si>
  <si>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</si>
  <si>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</si>
  <si>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</si>
  <si>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</si>
  <si>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</si>
  <si>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</si>
  <si>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</si>
  <si>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</si>
  <si>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</si>
  <si>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</si>
  <si>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</si>
  <si>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</si>
  <si>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</si>
  <si>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</si>
  <si>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</si>
  <si>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</si>
  <si>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</si>
  <si>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</si>
  <si>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</si>
  <si>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</si>
  <si>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</si>
  <si>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</si>
  <si>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</si>
  <si>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</si>
  <si>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</si>
  <si>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</si>
  <si>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</si>
  <si>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</si>
  <si>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</si>
  <si>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</si>
  <si>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</si>
  <si>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</si>
  <si>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</si>
  <si>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</si>
  <si>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</si>
  <si>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</si>
  <si>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</si>
  <si>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</si>
  <si>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</si>
  <si>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</si>
  <si>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</si>
  <si>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</si>
  <si>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</si>
  <si>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</si>
  <si>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</si>
  <si>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</si>
  <si>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</si>
  <si>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</si>
  <si>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</si>
  <si>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</si>
  <si>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</si>
  <si>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</si>
  <si>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</si>
  <si>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</si>
  <si>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</si>
  <si>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</si>
  <si>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</si>
  <si>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</si>
  <si>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</si>
  <si>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</si>
  <si>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</si>
  <si>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</si>
  <si>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</si>
  <si>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</si>
  <si>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</si>
  <si>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</si>
  <si>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</si>
  <si>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</si>
  <si>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</si>
  <si>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</si>
  <si>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</si>
  <si>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</si>
  <si>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</si>
  <si>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</si>
  <si>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</si>
  <si>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</si>
  <si>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</si>
  <si>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</si>
  <si>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</si>
  <si>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</si>
  <si>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</si>
  <si>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</si>
  <si>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</si>
  <si>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</si>
  <si>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</si>
  <si>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</si>
  <si>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</si>
  <si>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</si>
  <si>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</si>
  <si>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</si>
  <si>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</si>
  <si>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</si>
  <si>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</si>
  <si>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</si>
  <si>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</si>
  <si>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</si>
  <si>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</si>
  <si>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</si>
  <si>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</si>
  <si>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</si>
  <si>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</si>
  <si>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</si>
  <si>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</si>
  <si>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</si>
  <si>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</si>
  <si>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</si>
  <si>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</si>
  <si>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</si>
  <si>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</si>
  <si>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</si>
  <si>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</si>
  <si>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</si>
  <si>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</si>
  <si>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</si>
  <si>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</si>
  <si>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</si>
  <si>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</si>
  <si>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</si>
  <si>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</si>
  <si>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</si>
  <si>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</si>
  <si>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</si>
  <si>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</si>
  <si>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</si>
  <si>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</si>
  <si>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</si>
  <si>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</si>
  <si>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</si>
  <si>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</si>
  <si>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</si>
  <si>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</si>
  <si>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</si>
  <si>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</si>
  <si>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</si>
  <si>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</si>
  <si>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</si>
  <si>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</si>
  <si>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</si>
  <si>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</si>
  <si>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</si>
  <si>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</si>
  <si>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</si>
  <si>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</si>
  <si>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</si>
  <si>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</si>
  <si>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</si>
  <si>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</si>
  <si>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</si>
  <si>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</si>
  <si>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</si>
  <si>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</si>
  <si>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</si>
  <si>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</si>
  <si>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</si>
  <si>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</si>
  <si>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</si>
  <si>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</si>
  <si>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</si>
  <si>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</si>
  <si>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</si>
  <si>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</si>
  <si>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</si>
  <si>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</si>
  <si>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</si>
  <si>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</si>
  <si>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</si>
  <si>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</si>
  <si>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</si>
  <si>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</si>
  <si>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</si>
  <si>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</si>
  <si>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</si>
  <si>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</si>
  <si>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</si>
  <si>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</si>
  <si>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</si>
  <si>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</si>
  <si>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</si>
  <si>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</si>
  <si>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</si>
  <si>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</si>
  <si>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</si>
  <si>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</si>
  <si>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</si>
  <si>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</si>
  <si>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</si>
  <si>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</si>
  <si>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</si>
  <si>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</si>
  <si>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</si>
  <si>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</si>
  <si>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</si>
  <si>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</si>
  <si>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</si>
  <si>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</si>
  <si>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</si>
  <si>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</si>
  <si>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</si>
  <si>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</si>
  <si>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</si>
  <si>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</si>
  <si>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</si>
  <si>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</si>
  <si>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</si>
  <si>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</si>
  <si>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</si>
  <si>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</si>
  <si>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</si>
  <si>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</si>
  <si>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</si>
  <si>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</si>
  <si>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</si>
  <si>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</si>
  <si>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</si>
  <si>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</si>
  <si>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</si>
  <si>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</si>
  <si>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</si>
  <si>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</si>
  <si>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</si>
  <si>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</si>
  <si>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</si>
  <si>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</si>
  <si>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</si>
  <si>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</si>
  <si>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</si>
  <si>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</si>
  <si>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</si>
  <si>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</si>
  <si>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</si>
  <si>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</si>
  <si>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</si>
  <si>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</si>
  <si>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</si>
  <si>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</si>
  <si>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</si>
  <si>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</si>
  <si>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</si>
  <si>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</si>
  <si>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</si>
  <si>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</si>
  <si>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</si>
  <si>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</si>
  <si>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</si>
  <si>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</si>
  <si>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</si>
  <si>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</si>
  <si>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</si>
  <si>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</si>
  <si>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</si>
  <si>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</si>
  <si>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</si>
  <si>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</si>
  <si>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</si>
  <si>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</si>
  <si>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</si>
  <si>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</si>
  <si>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</si>
  <si>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</si>
  <si>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</si>
  <si>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</si>
  <si>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</si>
  <si>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</si>
  <si>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</si>
  <si>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</si>
  <si>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</si>
  <si>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</si>
  <si>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</si>
  <si>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</si>
  <si>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</si>
  <si>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</si>
  <si>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</si>
  <si>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</si>
  <si>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</si>
  <si>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</si>
  <si>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</si>
  <si>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</si>
  <si>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</si>
  <si>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</si>
  <si>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</si>
  <si>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</si>
  <si>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</si>
  <si>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</si>
  <si>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</si>
  <si>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</si>
  <si>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</si>
  <si>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</si>
  <si>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</si>
  <si>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</si>
  <si>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</si>
  <si>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</si>
  <si>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</si>
  <si>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</si>
  <si>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</si>
  <si>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</si>
  <si>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</si>
  <si>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</si>
  <si>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</si>
  <si>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</si>
  <si>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</si>
  <si>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</si>
  <si>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</si>
  <si>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</si>
  <si>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</si>
  <si>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</si>
  <si>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</si>
  <si>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</si>
  <si>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</si>
  <si>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</si>
  <si>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</si>
  <si>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</si>
  <si>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</si>
  <si>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</si>
  <si>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</si>
  <si>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</si>
  <si>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</si>
  <si>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</si>
  <si>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</si>
  <si>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</si>
  <si>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</si>
  <si>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</si>
  <si>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</si>
  <si>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</si>
  <si>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</si>
  <si>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</si>
  <si>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</si>
  <si>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</si>
  <si>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</si>
  <si>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</si>
  <si>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</si>
  <si>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</si>
  <si>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</si>
  <si>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</si>
  <si>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</si>
  <si>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</si>
  <si>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</si>
  <si>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</si>
  <si>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</si>
  <si>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</si>
  <si>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</si>
  <si>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</si>
  <si>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</si>
  <si>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</si>
  <si>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</si>
  <si>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</si>
  <si>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</si>
  <si>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</si>
  <si>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</si>
  <si>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</si>
  <si>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</si>
  <si>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</si>
  <si>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</si>
  <si>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</si>
  <si>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</si>
  <si>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</si>
  <si>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</si>
  <si>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</si>
  <si>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</si>
  <si>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</si>
  <si>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</si>
  <si>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</si>
  <si>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</si>
  <si>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</si>
  <si>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</si>
  <si>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</si>
  <si>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</si>
  <si>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</si>
  <si>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</si>
  <si>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</si>
  <si>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</si>
  <si>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</si>
  <si>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</si>
  <si>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</si>
  <si>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</si>
  <si>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</si>
  <si>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</si>
  <si>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</si>
  <si>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</si>
  <si>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</si>
  <si>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</si>
  <si>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</si>
  <si>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</si>
  <si>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</si>
  <si>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</si>
  <si>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</si>
  <si>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</si>
  <si>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</si>
  <si>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</si>
  <si>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</si>
  <si>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</si>
  <si>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</si>
  <si>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</si>
  <si>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</si>
  <si>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</si>
  <si>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</si>
  <si>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</si>
  <si>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</si>
  <si>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</si>
  <si>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</si>
  <si>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</si>
  <si>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</si>
  <si>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</si>
  <si>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</si>
  <si>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</si>
  <si>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</si>
  <si>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</si>
  <si>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</si>
  <si>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</si>
  <si>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</si>
  <si>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</si>
  <si>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</si>
  <si>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</si>
  <si>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</si>
  <si>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</si>
  <si>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</si>
  <si>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</si>
  <si>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</si>
  <si>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</si>
  <si>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</si>
  <si>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</si>
  <si>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</si>
  <si>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</si>
  <si>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</si>
  <si>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</si>
  <si>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</si>
  <si>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</si>
  <si>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</si>
  <si>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</si>
  <si>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</si>
  <si>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</si>
  <si>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</si>
  <si>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</si>
  <si>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</si>
  <si>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</si>
  <si>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</si>
  <si>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</si>
  <si>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</si>
  <si>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</si>
  <si>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</si>
  <si>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</si>
  <si>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</si>
  <si>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</si>
  <si>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</si>
  <si>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</si>
  <si>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</si>
  <si>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</si>
  <si>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</si>
  <si>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</si>
  <si>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</si>
  <si>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</si>
  <si>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</si>
  <si>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</si>
  <si>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</si>
  <si>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</si>
  <si>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</si>
  <si>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</si>
  <si>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</si>
  <si>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</si>
  <si>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</si>
  <si>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</si>
  <si>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</si>
  <si>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</si>
  <si>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</si>
  <si>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</si>
  <si>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</si>
  <si>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</si>
  <si>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</si>
  <si>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</si>
  <si>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</si>
  <si>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</si>
  <si>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</si>
  <si>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</si>
  <si>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</si>
  <si>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</si>
  <si>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</si>
  <si>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</si>
  <si>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</si>
  <si>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</si>
  <si>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</si>
  <si>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</si>
  <si>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</si>
  <si>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</si>
  <si>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</si>
  <si>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</si>
  <si>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</si>
  <si>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</si>
  <si>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</si>
  <si>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</si>
  <si>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</si>
  <si>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</si>
  <si>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</si>
  <si>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</si>
  <si>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</si>
  <si>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</si>
  <si>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</si>
  <si>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</si>
  <si>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</si>
  <si>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</si>
  <si>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</si>
  <si>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</si>
  <si>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</si>
  <si>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</si>
  <si>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</si>
  <si>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</si>
  <si>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</si>
  <si>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</si>
  <si>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</si>
  <si>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</si>
  <si>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</si>
  <si>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</si>
  <si>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</si>
  <si>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</si>
  <si>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</si>
  <si>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</si>
  <si>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</si>
  <si>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</si>
  <si>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</si>
  <si>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</si>
  <si>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</si>
  <si>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</si>
  <si>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</si>
  <si>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</si>
  <si>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</si>
  <si>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</si>
  <si>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</si>
  <si>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</si>
  <si>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</si>
  <si>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</si>
  <si>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</si>
  <si>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</si>
  <si>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</si>
  <si>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</si>
  <si>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</si>
  <si>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</si>
  <si>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</si>
  <si>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</si>
  <si>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</si>
  <si>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</si>
  <si>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</si>
  <si>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</si>
  <si>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</si>
  <si>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</si>
  <si>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</si>
  <si>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</si>
  <si>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</si>
  <si>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</si>
  <si>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</si>
  <si>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</si>
  <si>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</si>
  <si>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</si>
  <si>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</si>
  <si>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</si>
  <si>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</si>
  <si>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</si>
  <si>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</si>
  <si>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</si>
  <si>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</si>
  <si>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</si>
  <si>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</si>
  <si>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</si>
  <si>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</si>
  <si>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</si>
  <si>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</si>
  <si>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</si>
  <si>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</si>
  <si>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</si>
  <si>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</si>
  <si>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</si>
  <si>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</si>
  <si>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</si>
  <si>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</si>
  <si>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</si>
  <si>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</si>
  <si>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</si>
  <si>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</si>
  <si>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</si>
  <si>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</si>
  <si>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</si>
  <si>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</si>
  <si>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</si>
  <si>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</si>
  <si>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</si>
  <si>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</si>
  <si>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</si>
  <si>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</si>
  <si>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</si>
  <si>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</si>
  <si>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</si>
  <si>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</si>
  <si>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</si>
  <si>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</si>
  <si>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</si>
  <si>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</si>
  <si>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</si>
  <si>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</si>
  <si>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</si>
  <si>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</si>
  <si>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</si>
  <si>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</si>
  <si>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</si>
  <si>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</si>
  <si>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</si>
  <si>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</si>
  <si>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</si>
  <si>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</si>
  <si>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</si>
  <si>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</si>
  <si>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</si>
  <si>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</si>
  <si>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</si>
  <si>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</si>
  <si>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</si>
  <si>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</si>
  <si>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</si>
  <si>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</si>
  <si>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</si>
  <si>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</si>
  <si>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</si>
  <si>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</si>
  <si>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</si>
  <si>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</si>
  <si>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</si>
  <si>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</si>
  <si>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</si>
  <si>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</si>
  <si>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</si>
  <si>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</si>
  <si>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</si>
  <si>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</si>
  <si>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</si>
  <si>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</si>
  <si>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</si>
  <si>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</si>
  <si>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</si>
  <si>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</si>
  <si>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</si>
  <si>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</si>
  <si>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</si>
  <si>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</si>
  <si>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</si>
  <si>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</si>
  <si>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</si>
  <si>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</si>
  <si>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</si>
  <si>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</si>
  <si>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</si>
  <si>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</si>
  <si>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</si>
  <si>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</si>
  <si>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</si>
  <si>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</si>
  <si>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</si>
  <si>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</si>
  <si>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</si>
  <si>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</si>
  <si>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</si>
  <si>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</si>
  <si>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</si>
  <si>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</si>
  <si>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</si>
  <si>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</si>
  <si>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</si>
  <si>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</si>
  <si>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</si>
  <si>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</si>
  <si>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</si>
  <si>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</si>
  <si>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</si>
  <si>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</si>
  <si>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</si>
  <si>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</si>
  <si>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</si>
  <si>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</si>
  <si>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</si>
  <si>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</si>
  <si>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</si>
  <si>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</si>
  <si>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</si>
  <si>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</si>
  <si>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</si>
  <si>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</si>
  <si>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</si>
  <si>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</si>
  <si>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</si>
  <si>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</si>
  <si>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</si>
  <si>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</si>
  <si>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</si>
  <si>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</si>
  <si>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</si>
  <si>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</si>
  <si>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</si>
  <si>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</si>
  <si>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</si>
  <si>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</si>
  <si>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</si>
  <si>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</si>
  <si>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</si>
  <si>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</si>
  <si>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</si>
  <si>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</si>
  <si>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</si>
  <si>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</si>
  <si>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</si>
  <si>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</si>
  <si>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</si>
  <si>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</si>
  <si>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</si>
  <si>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</si>
  <si>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</si>
  <si>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</si>
  <si>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</si>
  <si>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</si>
  <si>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</si>
  <si>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</si>
  <si>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</si>
  <si>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</si>
  <si>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</si>
  <si>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</si>
  <si>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</si>
  <si>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</si>
  <si>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</si>
  <si>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</si>
  <si>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</si>
  <si>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</si>
  <si>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</si>
  <si>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</si>
  <si>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</si>
  <si>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</si>
  <si>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</si>
  <si>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</si>
  <si>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</si>
  <si>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</si>
  <si>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</si>
  <si>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</si>
  <si>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</si>
  <si>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</si>
  <si>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</si>
  <si>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</si>
  <si>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</si>
  <si>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</si>
  <si>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</si>
  <si>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</si>
  <si>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</si>
  <si>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</si>
  <si>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</si>
  <si>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</si>
  <si>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</si>
  <si>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</si>
  <si>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</si>
  <si>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</si>
  <si>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</si>
  <si>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</si>
  <si>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</si>
  <si>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</si>
  <si>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</si>
  <si>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</si>
  <si>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</si>
  <si>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</si>
  <si>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</si>
  <si>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</si>
  <si>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</si>
  <si>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</si>
  <si>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</si>
  <si>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</si>
  <si>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</si>
  <si>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</si>
  <si>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</si>
  <si>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</si>
  <si>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</si>
  <si>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</si>
  <si>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</si>
  <si>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</si>
  <si>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</si>
  <si>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</si>
  <si>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</si>
  <si>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</si>
  <si>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</si>
  <si>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</si>
  <si>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</si>
  <si>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</si>
  <si>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</si>
  <si>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</si>
  <si>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</si>
  <si>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</si>
  <si>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</si>
  <si>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</si>
  <si>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</si>
  <si>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</si>
  <si>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</si>
  <si>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</si>
  <si>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</si>
  <si>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</si>
  <si>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</si>
  <si>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</si>
  <si>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</si>
  <si>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</si>
  <si>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</si>
  <si>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</si>
  <si>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</si>
  <si>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</si>
  <si>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</si>
  <si>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</si>
  <si>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</si>
  <si>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</si>
  <si>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</si>
  <si>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</si>
  <si>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</si>
  <si>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</si>
  <si>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</si>
  <si>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</si>
  <si>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</si>
  <si>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</si>
  <si>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</si>
  <si>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</si>
  <si>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</si>
  <si>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</si>
  <si>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</si>
  <si>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</si>
  <si>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</si>
  <si>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</si>
  <si>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</si>
  <si>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</si>
  <si>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</si>
  <si>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</si>
  <si>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</si>
  <si>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</si>
  <si>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</si>
  <si>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</si>
  <si>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</si>
  <si>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</si>
  <si>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</si>
  <si>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</si>
  <si>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</si>
  <si>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</si>
  <si>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</si>
  <si>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</si>
  <si>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</si>
  <si>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</si>
  <si>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</si>
  <si>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</si>
  <si>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</si>
  <si>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</si>
  <si>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</si>
  <si>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</si>
  <si>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</si>
  <si>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</si>
  <si>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</si>
  <si>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</si>
  <si>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</si>
  <si>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</si>
  <si>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</si>
  <si>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</si>
  <si>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</si>
  <si>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</si>
  <si>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</si>
  <si>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</si>
  <si>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</si>
  <si>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</si>
  <si>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</si>
  <si>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</si>
  <si>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</si>
  <si>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</si>
  <si>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</si>
  <si>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</si>
  <si>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</si>
  <si>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</si>
  <si>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</si>
  <si>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</si>
  <si>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</si>
  <si>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</si>
  <si>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</si>
  <si>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</si>
  <si>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</si>
  <si>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</si>
  <si>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</si>
  <si>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</si>
  <si>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</si>
  <si>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</si>
  <si>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</si>
  <si>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</si>
  <si>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</si>
  <si>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</si>
  <si>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</si>
  <si>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</si>
  <si>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</si>
  <si>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</si>
  <si>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</si>
  <si>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</si>
  <si>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</si>
  <si>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</si>
  <si>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</si>
  <si>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</si>
  <si>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</si>
  <si>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</si>
  <si>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</si>
  <si>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</si>
  <si>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</si>
  <si>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</si>
  <si>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</si>
  <si>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</si>
  <si>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</si>
  <si>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</si>
  <si>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</si>
  <si>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</si>
  <si>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</si>
  <si>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</si>
  <si>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</si>
  <si>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</si>
  <si>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</si>
  <si>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</si>
  <si>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</si>
  <si>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</si>
  <si>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</si>
  <si>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</si>
  <si>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</si>
  <si>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</si>
  <si>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</si>
  <si>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</si>
  <si>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</si>
  <si>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</si>
  <si>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</si>
  <si>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</si>
  <si>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</si>
  <si>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</si>
  <si>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</si>
  <si>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</si>
  <si>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</si>
  <si>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</si>
  <si>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</si>
  <si>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</si>
  <si>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</si>
  <si>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</si>
  <si>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</si>
  <si>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</si>
  <si>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</si>
  <si>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</si>
  <si>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</si>
  <si>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</si>
  <si>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</si>
  <si>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</si>
  <si>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</si>
  <si>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</si>
  <si>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</si>
  <si>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</si>
  <si>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</si>
  <si>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</si>
  <si>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</si>
  <si>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</si>
  <si>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</si>
  <si>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</si>
  <si>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</si>
  <si>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</si>
  <si>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</si>
  <si>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</si>
  <si>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</si>
  <si>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</si>
  <si>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</si>
  <si>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</si>
  <si>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</si>
  <si>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</si>
  <si>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</si>
  <si>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</si>
  <si>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</si>
  <si>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</si>
  <si>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</si>
  <si>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</si>
  <si>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</si>
  <si>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</si>
  <si>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</si>
  <si>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</si>
  <si>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</si>
  <si>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</si>
  <si>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</si>
  <si>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</si>
  <si>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</si>
  <si>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</si>
  <si>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</si>
  <si>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</si>
  <si>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</si>
  <si>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</si>
  <si>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</si>
  <si>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</si>
  <si>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</si>
  <si>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</si>
  <si>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</si>
  <si>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</si>
  <si>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</si>
  <si>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</si>
  <si>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</si>
  <si>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</si>
  <si>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</si>
  <si>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</si>
  <si>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</si>
  <si>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</si>
  <si>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</si>
  <si>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</si>
  <si>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</si>
  <si>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</si>
  <si>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</si>
  <si>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</si>
  <si>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</si>
  <si>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</si>
  <si>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</si>
  <si>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</si>
  <si>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</si>
  <si>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</si>
  <si>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</si>
  <si>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</si>
  <si>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</si>
  <si>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</si>
  <si>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</si>
  <si>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</si>
  <si>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</si>
  <si>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</si>
  <si>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</si>
  <si>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</si>
  <si>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</si>
  <si>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</si>
  <si>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</si>
  <si>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</si>
  <si>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</si>
  <si>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</si>
  <si>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</si>
  <si>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</si>
  <si>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</si>
  <si>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</si>
  <si>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</si>
  <si>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</si>
  <si>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</si>
  <si>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</si>
  <si>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</si>
  <si>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</si>
  <si>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</si>
  <si>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</si>
  <si>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</si>
  <si>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</si>
  <si>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</si>
  <si>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</si>
  <si>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</si>
  <si>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</si>
  <si>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</si>
  <si>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</si>
  <si>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</si>
  <si>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</si>
  <si>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</si>
  <si>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</si>
  <si>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</si>
  <si>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</si>
  <si>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</si>
  <si>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</si>
  <si>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</si>
  <si>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</si>
  <si>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</si>
  <si>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</si>
  <si>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</si>
  <si>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</si>
  <si>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</si>
  <si>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</si>
  <si>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</si>
  <si>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</si>
  <si>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</si>
  <si>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</si>
  <si>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</si>
  <si>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</si>
  <si>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</si>
  <si>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</si>
  <si>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</si>
  <si>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</si>
  <si>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</si>
  <si>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</si>
  <si>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</si>
  <si>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</si>
  <si>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</si>
  <si>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</si>
  <si>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</si>
  <si>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</si>
  <si>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</si>
  <si>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</si>
  <si>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</si>
  <si>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</si>
  <si>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</si>
  <si>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</si>
  <si>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</si>
  <si>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</si>
  <si>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</si>
  <si>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</si>
  <si>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</si>
  <si>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</si>
  <si>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</si>
  <si>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</si>
  <si>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</si>
  <si>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</si>
  <si>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</si>
  <si>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</si>
  <si>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</si>
  <si>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</si>
  <si>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</si>
  <si>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</si>
  <si>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</si>
  <si>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</si>
  <si>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</si>
  <si>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</si>
  <si>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</si>
  <si>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</si>
  <si>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</si>
  <si>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</si>
  <si>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</si>
  <si>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</si>
  <si>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</si>
  <si>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</si>
  <si>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</si>
  <si>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</si>
  <si>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</si>
  <si>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</si>
  <si>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</si>
  <si>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</si>
  <si>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</si>
  <si>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</si>
  <si>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</si>
  <si>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</si>
  <si>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</si>
  <si>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</si>
  <si>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</si>
  <si>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</si>
  <si>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</si>
  <si>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</si>
  <si>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</si>
  <si>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</si>
  <si>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</si>
  <si>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</si>
  <si>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</si>
  <si>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</si>
  <si>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</si>
  <si>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</si>
  <si>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</si>
  <si>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</si>
  <si>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</si>
  <si>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</si>
  <si>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</si>
  <si>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</si>
  <si>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</si>
  <si>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</si>
  <si>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</si>
  <si>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</si>
  <si>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</si>
  <si>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</si>
  <si>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</si>
  <si>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</si>
  <si>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</si>
  <si>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</si>
  <si>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</si>
  <si>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</si>
  <si>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</si>
  <si>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</si>
  <si>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</si>
  <si>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</si>
  <si>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</si>
  <si>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</si>
  <si>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</si>
  <si>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</si>
  <si>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</si>
  <si>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</si>
  <si>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</si>
  <si>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</si>
  <si>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</si>
  <si>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</si>
  <si>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</si>
  <si>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</si>
  <si>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</si>
  <si>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</si>
  <si>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</si>
  <si>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</si>
  <si>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</si>
  <si>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</si>
  <si>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</si>
  <si>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</si>
  <si>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</si>
  <si>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</si>
  <si>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</si>
  <si>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</si>
  <si>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</si>
  <si>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</si>
  <si>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</si>
  <si>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</si>
  <si>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</si>
  <si>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</si>
  <si>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</si>
  <si>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</si>
  <si>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</si>
  <si>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</si>
  <si>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</si>
  <si>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</si>
  <si>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</si>
  <si>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</si>
  <si>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</si>
  <si>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</si>
  <si>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</si>
  <si>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</si>
  <si>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</si>
  <si>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</si>
  <si>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</si>
  <si>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</si>
  <si>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</si>
  <si>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</si>
  <si>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</si>
  <si>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</si>
  <si>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</si>
  <si>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</si>
  <si>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</si>
  <si>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</si>
  <si>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</si>
  <si>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</si>
  <si>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</si>
  <si>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</si>
  <si>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</si>
  <si>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</si>
  <si>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</si>
  <si>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</si>
  <si>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</si>
  <si>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</si>
  <si>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</si>
  <si>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</si>
  <si>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</si>
  <si>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</si>
  <si>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</si>
  <si>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</si>
  <si>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</si>
  <si>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</si>
  <si>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</si>
  <si>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</si>
  <si>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</si>
  <si>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</si>
  <si>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</si>
  <si>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</si>
  <si>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</si>
  <si>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</si>
  <si>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</si>
  <si>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</si>
  <si>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</si>
  <si>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</si>
  <si>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</si>
  <si>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</si>
  <si>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</si>
  <si>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</si>
  <si>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</si>
  <si>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</si>
  <si>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</si>
  <si>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</si>
  <si>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</si>
  <si>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</si>
  <si>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</si>
  <si>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</si>
  <si>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</si>
  <si>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</si>
  <si>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</si>
  <si>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</si>
  <si>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</si>
  <si>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</si>
  <si>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</si>
  <si>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</si>
  <si>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</si>
  <si>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</si>
  <si>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</si>
  <si>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</si>
  <si>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</si>
  <si>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</si>
  <si>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</si>
  <si>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</si>
  <si>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</si>
  <si>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</si>
  <si>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</si>
  <si>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</si>
  <si>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</si>
  <si>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</si>
  <si>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</si>
  <si>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</si>
  <si>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</si>
  <si>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</si>
  <si>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</si>
  <si>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</si>
  <si>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</si>
  <si>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</si>
  <si>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</si>
  <si>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</si>
  <si>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</si>
  <si>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</si>
  <si>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</si>
  <si>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</si>
  <si>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</si>
  <si>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</si>
  <si>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</si>
  <si>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</si>
  <si>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</si>
  <si>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</si>
  <si>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</si>
  <si>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</si>
  <si>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</si>
  <si>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</si>
  <si>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</si>
  <si>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</si>
  <si>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</si>
  <si>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</si>
  <si>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</si>
  <si>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</si>
  <si>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</si>
  <si>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</si>
  <si>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</si>
  <si>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</si>
  <si>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</si>
  <si>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</si>
  <si>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</si>
  <si>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</si>
  <si>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</si>
  <si>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</si>
  <si>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</si>
  <si>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</si>
  <si>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</si>
  <si>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</si>
  <si>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</si>
  <si>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</si>
  <si>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</si>
  <si>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</si>
  <si>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</si>
  <si>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</si>
  <si>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</si>
  <si>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</si>
  <si>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</si>
  <si>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</si>
  <si>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</si>
  <si>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</si>
  <si>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</si>
  <si>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</si>
  <si>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</si>
  <si>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</si>
  <si>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</si>
  <si>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</si>
  <si>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</si>
  <si>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</si>
  <si>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</si>
  <si>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</si>
  <si>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</si>
  <si>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</si>
  <si>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</si>
  <si>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</si>
  <si>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</si>
  <si>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</si>
  <si>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</si>
  <si>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</si>
  <si>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</si>
  <si>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</si>
  <si>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</si>
  <si>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</si>
  <si>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</si>
  <si>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</si>
  <si>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</si>
  <si>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</si>
  <si>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</si>
  <si>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</si>
  <si>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</si>
  <si>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</si>
  <si>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</si>
  <si>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</si>
  <si>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</si>
  <si>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</si>
  <si>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</si>
  <si>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</si>
  <si>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</si>
  <si>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</si>
  <si>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</si>
  <si>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</si>
  <si>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</si>
  <si>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</si>
  <si>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</si>
  <si>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</si>
  <si>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</si>
  <si>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</si>
  <si>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</si>
  <si>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</si>
  <si>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</si>
  <si>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</si>
  <si>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</si>
  <si>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</si>
  <si>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</si>
  <si>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</si>
  <si>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</si>
  <si>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</si>
  <si>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</si>
  <si>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</si>
  <si>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</si>
  <si>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</si>
  <si>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</si>
  <si>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</si>
  <si>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</si>
  <si>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</si>
  <si>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</si>
  <si>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</si>
  <si>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</si>
  <si>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</si>
  <si>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</si>
  <si>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</si>
  <si>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</si>
  <si>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</si>
  <si>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</si>
  <si>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</si>
  <si>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</si>
  <si>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</si>
  <si>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</si>
  <si>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</si>
  <si>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</si>
  <si>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</si>
  <si>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</si>
  <si>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</si>
  <si>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</si>
  <si>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</si>
  <si>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</si>
  <si>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</si>
  <si>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</si>
  <si>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</si>
  <si>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</si>
  <si>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</si>
  <si>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</si>
  <si>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</si>
  <si>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</si>
  <si>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</si>
  <si>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</si>
  <si>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</si>
  <si>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</si>
  <si>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</si>
  <si>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</si>
  <si>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</si>
  <si>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</si>
  <si>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</si>
  <si>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</si>
  <si>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</si>
  <si>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</si>
  <si>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</si>
  <si>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</si>
  <si>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</si>
  <si>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</si>
  <si>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</si>
  <si>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</si>
  <si>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</si>
  <si>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</si>
  <si>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</si>
  <si>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</si>
  <si>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</si>
  <si>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</si>
  <si>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</si>
  <si>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</si>
  <si>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</si>
  <si>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</si>
  <si>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</si>
  <si>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</si>
  <si>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</si>
  <si>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</si>
  <si>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</si>
  <si>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</si>
  <si>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</si>
  <si>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</si>
  <si>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</si>
  <si>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</si>
  <si>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</si>
  <si>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</si>
  <si>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</si>
  <si>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</si>
  <si>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</si>
  <si>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</si>
  <si>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</si>
  <si>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</si>
  <si>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</si>
  <si>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</si>
  <si>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</si>
  <si>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</si>
  <si>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</si>
  <si>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</si>
  <si>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</si>
  <si>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</si>
  <si>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</si>
  <si>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</si>
  <si>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</si>
  <si>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</si>
  <si>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</si>
  <si>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</si>
  <si>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</si>
  <si>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</si>
  <si>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</si>
  <si>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</si>
  <si>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</si>
  <si>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</si>
  <si>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</si>
  <si>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</si>
  <si>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</si>
  <si>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</si>
  <si>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</si>
  <si>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</si>
  <si>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</si>
  <si>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</si>
  <si>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</si>
  <si>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</si>
  <si>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</si>
  <si>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</si>
  <si>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</si>
  <si>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</si>
  <si>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</si>
  <si>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</si>
  <si>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</si>
  <si>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</si>
  <si>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</si>
  <si>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</si>
  <si>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</si>
  <si>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</si>
  <si>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</si>
  <si>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</si>
  <si>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</si>
  <si>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</si>
  <si>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</si>
  <si>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</si>
  <si>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</si>
  <si>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</si>
  <si>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</si>
  <si>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</si>
  <si>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</si>
  <si>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</si>
  <si>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</si>
  <si>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</si>
  <si>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</si>
  <si>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</si>
  <si>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</si>
  <si>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</si>
  <si>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</si>
  <si>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</si>
  <si>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</si>
  <si>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</si>
  <si>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</si>
  <si>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</si>
  <si>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</si>
  <si>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</si>
  <si>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</si>
  <si>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</si>
  <si>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</si>
  <si>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</si>
  <si>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</si>
  <si>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</si>
  <si>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</si>
  <si>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</si>
  <si>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</si>
  <si>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</si>
  <si>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</si>
  <si>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</si>
  <si>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</si>
  <si>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</si>
  <si>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</si>
  <si>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</si>
  <si>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</si>
  <si>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</si>
  <si>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</si>
  <si>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</si>
  <si>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</si>
  <si>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</si>
  <si>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</si>
  <si>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</si>
  <si>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</si>
  <si>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</si>
  <si>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</si>
  <si>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</si>
  <si>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</si>
  <si>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</si>
  <si>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</si>
  <si>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</si>
  <si>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</si>
  <si>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</si>
  <si>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</si>
  <si>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</si>
  <si>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</si>
  <si>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</si>
  <si>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</si>
  <si>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</si>
  <si>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</si>
  <si>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</si>
  <si>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</si>
  <si>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</si>
  <si>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</si>
  <si>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</si>
  <si>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</si>
  <si>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</si>
  <si>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</si>
  <si>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</si>
  <si>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</si>
  <si>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</si>
  <si>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</si>
  <si>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</si>
  <si>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</si>
  <si>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</si>
  <si>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</si>
  <si>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</si>
  <si>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</si>
  <si>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</si>
  <si>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</si>
  <si>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</si>
  <si>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</si>
  <si>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</si>
  <si>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</si>
  <si>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</si>
  <si>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</si>
  <si>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</si>
  <si>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</si>
  <si>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</si>
  <si>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</si>
  <si>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</si>
  <si>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</si>
  <si>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</si>
  <si>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</si>
  <si>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</si>
  <si>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</si>
  <si>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</si>
  <si>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</si>
  <si>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</si>
  <si>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</si>
  <si>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</si>
  <si>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</si>
  <si>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</si>
  <si>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</si>
  <si>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</si>
  <si>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</si>
  <si>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</si>
  <si>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</si>
  <si>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</si>
  <si>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</si>
  <si>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</si>
  <si>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</si>
  <si>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</si>
  <si>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</si>
  <si>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</si>
  <si>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</si>
  <si>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</si>
  <si>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</si>
  <si>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</si>
  <si>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</si>
  <si>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</si>
  <si>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</si>
  <si>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</si>
  <si>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</si>
  <si>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</si>
  <si>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</si>
  <si>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</si>
  <si>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</si>
  <si>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</si>
  <si>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</si>
  <si>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</si>
  <si>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</si>
  <si>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</si>
  <si>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</si>
  <si>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</si>
  <si>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</si>
  <si>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</si>
  <si>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</si>
  <si>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</si>
  <si>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</si>
  <si>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</si>
  <si>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</si>
  <si>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</si>
  <si>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</si>
  <si>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</si>
  <si>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</si>
  <si>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</si>
  <si>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</si>
  <si>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</si>
  <si>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</si>
  <si>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</si>
  <si>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</si>
  <si>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</si>
  <si>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</si>
  <si>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</si>
  <si>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</si>
  <si>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</si>
  <si>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</si>
  <si>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</si>
  <si>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</si>
  <si>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</si>
  <si>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</si>
  <si>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</si>
  <si>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</si>
  <si>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</si>
  <si>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</si>
  <si>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</si>
  <si>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</si>
  <si>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</si>
  <si>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</si>
  <si>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</si>
  <si>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</si>
  <si>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</si>
  <si>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</si>
  <si>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</si>
  <si>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</si>
  <si>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</si>
  <si>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</si>
  <si>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</si>
  <si>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</si>
  <si>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</si>
  <si>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</si>
  <si>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</si>
  <si>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</si>
  <si>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</si>
  <si>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</si>
  <si>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</si>
  <si>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</si>
  <si>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</si>
  <si>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</si>
  <si>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</si>
  <si>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</si>
  <si>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</si>
  <si>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</si>
  <si>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</si>
  <si>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</si>
  <si>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</si>
  <si>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</si>
  <si>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</si>
  <si>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</si>
  <si>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</si>
  <si>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</si>
  <si>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</si>
  <si>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</si>
  <si>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</si>
  <si>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</si>
  <si>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</si>
  <si>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</si>
  <si>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</si>
  <si>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</si>
  <si>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</si>
  <si>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</si>
  <si>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</si>
  <si>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</si>
  <si>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</si>
  <si>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</si>
  <si>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</si>
  <si>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</si>
  <si>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</si>
  <si>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</si>
  <si>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</si>
  <si>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</si>
  <si>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</si>
  <si>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</si>
  <si>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</si>
  <si>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</si>
  <si>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</si>
  <si>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</si>
  <si>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</si>
  <si>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</si>
  <si>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</si>
  <si>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</si>
  <si>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</si>
  <si>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</si>
  <si>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</si>
  <si>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</si>
  <si>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</si>
  <si>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</si>
  <si>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</si>
  <si>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</si>
  <si>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</si>
  <si>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</si>
  <si>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</si>
  <si>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</si>
  <si>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</si>
  <si>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</si>
  <si>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</si>
  <si>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</si>
  <si>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</si>
  <si>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</si>
  <si>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</si>
  <si>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</si>
  <si>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</si>
  <si>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</si>
  <si>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</si>
  <si>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</si>
  <si>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</si>
  <si>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</si>
  <si>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</si>
  <si>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</si>
  <si>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</si>
  <si>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</si>
  <si>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</si>
  <si>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</si>
  <si>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</si>
  <si>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</si>
  <si>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</si>
  <si>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</si>
  <si>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</si>
  <si>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</si>
  <si>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</si>
  <si>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</si>
  <si>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</si>
  <si>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</si>
  <si>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</si>
  <si>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</si>
  <si>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</si>
  <si>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</si>
  <si>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</si>
  <si>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</si>
  <si>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</si>
  <si>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</si>
  <si>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</si>
  <si>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</si>
  <si>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</si>
  <si>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</si>
  <si>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</si>
  <si>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</si>
  <si>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</si>
  <si>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</si>
  <si>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</si>
  <si>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</si>
  <si>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</si>
  <si>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</si>
  <si>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</si>
  <si>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</si>
  <si>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</si>
  <si>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</si>
  <si>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</si>
  <si>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</si>
  <si>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</si>
  <si>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</si>
  <si>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</si>
  <si>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</si>
  <si>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</si>
  <si>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</si>
  <si>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</si>
  <si>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</si>
  <si>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</si>
  <si>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</si>
  <si>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</si>
  <si>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</si>
  <si>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</si>
  <si>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</si>
  <si>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</si>
  <si>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</si>
  <si>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</si>
  <si>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</si>
  <si>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</si>
  <si>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</si>
  <si>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</si>
  <si>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</si>
  <si>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</si>
  <si>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</si>
  <si>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</si>
  <si>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</si>
  <si>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</si>
  <si>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</si>
  <si>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</si>
  <si>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</si>
  <si>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</si>
  <si>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</si>
  <si>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</si>
  <si>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</si>
  <si>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</si>
  <si>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</si>
  <si>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</si>
  <si>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</si>
  <si>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</si>
  <si>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</si>
  <si>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</si>
  <si>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</si>
  <si>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</si>
  <si>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</si>
  <si>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</si>
  <si>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</si>
  <si>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</si>
  <si>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</si>
  <si>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</si>
  <si>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</si>
  <si>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</si>
  <si>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</si>
  <si>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</si>
  <si>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</si>
  <si>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</si>
  <si>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</si>
  <si>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</si>
  <si>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</si>
  <si>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</si>
  <si>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</si>
  <si>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</si>
  <si>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</si>
  <si>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</si>
  <si>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</si>
  <si>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</si>
  <si>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</si>
  <si>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</si>
  <si>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</si>
  <si>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</si>
  <si>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</si>
  <si>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</si>
  <si>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</si>
  <si>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</si>
  <si>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</si>
  <si>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</si>
  <si>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</si>
  <si>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</si>
  <si>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</si>
  <si>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</si>
  <si>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</si>
  <si>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</si>
  <si>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</si>
  <si>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</si>
  <si>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</si>
  <si>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</si>
  <si>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</si>
  <si>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</si>
  <si>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</si>
  <si>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</si>
  <si>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</si>
  <si>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</si>
  <si>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</si>
  <si>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</si>
  <si>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</si>
  <si>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</si>
  <si>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</si>
  <si>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</si>
  <si>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</si>
  <si>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</si>
  <si>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</si>
  <si>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</si>
  <si>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</si>
  <si>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</si>
  <si>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</si>
  <si>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</si>
  <si>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</si>
  <si>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</si>
  <si>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</si>
  <si>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</si>
  <si>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</si>
  <si>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</si>
  <si>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</si>
  <si>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</si>
  <si>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</si>
  <si>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</si>
  <si>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</si>
  <si>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</si>
  <si>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</si>
  <si>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</si>
  <si>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</si>
  <si>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</si>
  <si>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</si>
  <si>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</si>
  <si>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</si>
  <si>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</si>
  <si>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</si>
  <si>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</si>
  <si>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</si>
  <si>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</si>
  <si>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</si>
  <si>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</si>
  <si>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</si>
  <si>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</si>
  <si>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</si>
  <si>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</si>
  <si>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</si>
  <si>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</si>
  <si>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</si>
  <si>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</si>
  <si>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</si>
  <si>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</si>
  <si>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</si>
  <si>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</si>
  <si>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</si>
  <si>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</si>
  <si>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</si>
  <si>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</si>
  <si>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</si>
  <si>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</si>
  <si>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</si>
  <si>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</si>
  <si>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</si>
  <si>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</si>
  <si>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</si>
  <si>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</si>
  <si>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</si>
  <si>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</si>
  <si>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</si>
  <si>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</si>
  <si>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</si>
  <si>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</si>
  <si>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</si>
  <si>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</si>
  <si>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</si>
  <si>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</si>
  <si>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</si>
  <si>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</si>
  <si>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</si>
  <si>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</si>
  <si>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</si>
  <si>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</si>
  <si>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</si>
  <si>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</si>
  <si>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</si>
  <si>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</si>
  <si>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</si>
  <si>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</si>
  <si>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</si>
  <si>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</si>
  <si>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</si>
  <si>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</si>
  <si>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</si>
  <si>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</si>
  <si>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</si>
  <si>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</si>
  <si>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</si>
  <si>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</si>
  <si>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</si>
  <si>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</si>
  <si>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</si>
  <si>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</si>
  <si>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</si>
  <si>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</si>
  <si>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</si>
  <si>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</si>
  <si>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</si>
  <si>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</si>
  <si>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</si>
  <si>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</si>
  <si>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</si>
  <si>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</si>
  <si>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</si>
  <si>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</si>
  <si>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</si>
  <si>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</si>
  <si>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</si>
  <si>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</si>
  <si>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</si>
  <si>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</si>
  <si>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</si>
  <si>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</si>
  <si>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</si>
  <si>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</si>
  <si>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</si>
  <si>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</si>
  <si>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</si>
  <si>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</si>
  <si>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</si>
  <si>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</si>
  <si>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</si>
  <si>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</si>
  <si>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</si>
  <si>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</si>
  <si>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</si>
  <si>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phoneticPr fontId="134" type="noConversion"/>
  </si>
  <si>
    <t>中楼层</t>
    <phoneticPr fontId="134" type="noConversion"/>
  </si>
  <si>
    <t>精装修</t>
    <phoneticPr fontId="134" type="noConversion"/>
  </si>
  <si>
    <t>南北西</t>
    <phoneticPr fontId="134" type="noConversion"/>
  </si>
  <si>
    <t>高楼层</t>
    <phoneticPr fontId="134" type="noConversion"/>
  </si>
  <si>
    <t>风水加成</t>
    <phoneticPr fontId="134" type="noConversion"/>
  </si>
  <si>
    <t>普通装修</t>
    <phoneticPr fontId="134" type="noConversion"/>
  </si>
  <si>
    <t>东南北</t>
    <phoneticPr fontId="134" type="noConversion"/>
  </si>
  <si>
    <t>无</t>
    <phoneticPr fontId="3" type="noConversion"/>
  </si>
  <si>
    <t>南北东</t>
    <phoneticPr fontId="3" type="noConversion"/>
  </si>
  <si>
    <t>南北西</t>
    <phoneticPr fontId="3" type="noConversion"/>
  </si>
  <si>
    <t>南北</t>
    <phoneticPr fontId="3" type="noConversion"/>
  </si>
  <si>
    <t>高楼层</t>
    <phoneticPr fontId="3" type="noConversion"/>
  </si>
  <si>
    <t>中楼层</t>
    <phoneticPr fontId="3" type="noConversion"/>
  </si>
  <si>
    <t>低楼层</t>
    <phoneticPr fontId="24" type="noConversion"/>
  </si>
  <si>
    <t>低楼层</t>
    <phoneticPr fontId="3" type="noConversion"/>
  </si>
  <si>
    <t>楼层</t>
    <phoneticPr fontId="24" type="noConversion"/>
  </si>
  <si>
    <t>南北西</t>
  </si>
  <si>
    <t>南北</t>
  </si>
  <si>
    <t>南北东</t>
  </si>
  <si>
    <t>普通装修</t>
  </si>
  <si>
    <r>
      <t>2</t>
    </r>
    <r>
      <rPr>
        <sz val="10"/>
        <rFont val="宋体"/>
        <family val="3"/>
        <charset val="134"/>
      </rPr>
      <t>023-8月</t>
    </r>
    <phoneticPr fontId="3" type="noConversion"/>
  </si>
  <si>
    <t>平米租金(元/㎡·月)</t>
  </si>
  <si>
    <t>套均租金(元/套·月)</t>
  </si>
  <si>
    <t>参考售价(元/㎡)</t>
  </si>
  <si>
    <t>小区</t>
  </si>
  <si>
    <t>首开龙湖天璞</t>
  </si>
  <si>
    <t>含地下面积</t>
    <phoneticPr fontId="3" type="noConversion"/>
  </si>
  <si>
    <t>含地下面积</t>
    <phoneticPr fontId="24" type="noConversion"/>
  </si>
  <si>
    <t>利息：取LPR</t>
  </si>
  <si>
    <t>钢混</t>
  </si>
  <si>
    <t>非生产用房</t>
  </si>
  <si>
    <t>非住宅</t>
    <phoneticPr fontId="137" type="noConversion"/>
  </si>
  <si>
    <t>收益还原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</si>
</sst>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9"/>
      <color rgb="FF303133"/>
      <name val="Segoe UI"/>
      <family val="2"/>
    </font>
    <font>
      <sz val="11"/>
      <color theme="1"/>
      <name val="Segoe UI"/>
      <family val="2"/>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BEEF5"/>
      </right>
      <top/>
      <bottom style="medium">
        <color rgb="FFEBEEF5"/>
      </bottom>
      <diagonal/>
    </border>
    <border>
      <left/>
      <right/>
      <top/>
      <bottom style="medium">
        <color rgb="FFEBEEF5"/>
      </bottom>
      <diagonal/>
    </border>
    <border>
      <left style="medium">
        <color rgb="FFEBEEF5"/>
      </left>
      <right/>
      <top/>
      <bottom style="medium">
        <color rgb="FFEBEEF5"/>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0" borderId="0" xfId="10">
      <alignment vertical="center"/>
    </xf>
    <xf numFmtId="0" fontId="95" fillId="0" borderId="0" xfId="10" applyAlignment="1">
      <alignment horizontal="center" vertical="center"/>
    </xf>
    <xf numFmtId="14" fontId="95" fillId="0" borderId="0" xfId="10" applyNumberFormat="1">
      <alignment vertical="center"/>
    </xf>
    <xf numFmtId="0" fontId="95" fillId="5" borderId="0" xfId="10" applyFill="1">
      <alignment vertical="center"/>
    </xf>
    <xf numFmtId="14" fontId="269" fillId="0" borderId="0" xfId="10" applyNumberFormat="1" applyFont="1">
      <alignment vertical="center"/>
    </xf>
    <xf numFmtId="0" fontId="269" fillId="0" borderId="0" xfId="10" applyFont="1" applyAlignment="1">
      <alignment horizontal="center" vertical="center"/>
    </xf>
    <xf numFmtId="0" fontId="269" fillId="0" borderId="0" xfId="10" applyFont="1">
      <alignment vertical="center"/>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0" fontId="0" fillId="0" borderId="0" xfId="0" applyAlignment="1">
      <alignment horizontal="center" vertical="center"/>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29" fillId="5" borderId="0" xfId="0" applyFont="1" applyFill="1" applyAlignment="1">
      <alignment horizontal="center" vertical="center" wrapText="1"/>
    </xf>
    <xf numFmtId="0" fontId="270" fillId="0" borderId="176" xfId="0" applyFont="1" applyBorder="1" applyAlignment="1">
      <alignment horizontal="right" vertical="center"/>
    </xf>
    <xf numFmtId="0" fontId="271" fillId="12" borderId="176" xfId="0" applyFont="1" applyFill="1" applyBorder="1" applyAlignment="1">
      <alignment horizontal="left" vertical="center" wrapText="1"/>
    </xf>
    <xf numFmtId="0" fontId="271" fillId="12" borderId="176" xfId="0" applyFont="1" applyFill="1" applyBorder="1" applyAlignment="1">
      <alignment horizontal="right" vertical="center"/>
    </xf>
    <xf numFmtId="0" fontId="272" fillId="0" borderId="1" xfId="19" applyBorder="1" applyAlignment="1">
      <alignment horizontal="center" vertical="center"/>
    </xf>
    <xf numFmtId="14" fontId="272" fillId="0" borderId="1" xfId="19" applyNumberFormat="1" applyBorder="1" applyAlignment="1">
      <alignment horizontal="center" vertical="center"/>
    </xf>
    <xf numFmtId="14" fontId="272" fillId="0" borderId="5" xfId="19" applyNumberFormat="1" applyBorder="1" applyAlignment="1">
      <alignment horizontal="center" vertical="center"/>
    </xf>
    <xf numFmtId="0" fontId="272" fillId="0" borderId="0" xfId="19" applyAlignment="1">
      <alignment horizontal="center" vertical="center"/>
    </xf>
    <xf numFmtId="0" fontId="19" fillId="6" borderId="0" xfId="0" applyFont="1" applyFill="1" applyAlignment="1">
      <alignment horizontal="center" vertical="center"/>
    </xf>
    <xf numFmtId="0" fontId="19" fillId="5"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0" borderId="1" xfId="19" applyBorder="1" applyAlignment="1">
      <alignment horizontal="center" vertical="center"/>
    </xf>
    <xf numFmtId="17" fontId="270" fillId="0" borderId="178" xfId="0" applyNumberFormat="1" applyFont="1" applyBorder="1" applyAlignment="1">
      <alignment horizontal="center" vertical="center"/>
    </xf>
    <xf numFmtId="17" fontId="270" fillId="0" borderId="177" xfId="0" applyNumberFormat="1" applyFont="1" applyBorder="1" applyAlignment="1">
      <alignment horizontal="center" vertical="center"/>
    </xf>
    <xf numFmtId="17" fontId="270" fillId="0" borderId="176" xfId="0" applyNumberFormat="1"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B9298351-7E9F-4F91-A684-A6BBF14B1B6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首开龙湖天璞租金</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租金!$A$3</c:f>
              <c:strCache>
                <c:ptCount val="1"/>
                <c:pt idx="0">
                  <c:v>首开龙湖天璞</c:v>
                </c:pt>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租金!$B$3:$V$3</c:f>
              <c:numCache>
                <c:formatCode>General</c:formatCode>
                <c:ptCount val="21"/>
                <c:pt idx="0">
                  <c:v>130.31</c:v>
                </c:pt>
                <c:pt idx="1">
                  <c:v>119.09</c:v>
                </c:pt>
                <c:pt idx="2">
                  <c:v>120</c:v>
                </c:pt>
                <c:pt idx="3">
                  <c:v>126.19</c:v>
                </c:pt>
                <c:pt idx="4">
                  <c:v>124.52</c:v>
                </c:pt>
                <c:pt idx="5">
                  <c:v>127.83</c:v>
                </c:pt>
                <c:pt idx="6">
                  <c:v>140.91</c:v>
                </c:pt>
                <c:pt idx="7">
                  <c:v>138.69</c:v>
                </c:pt>
                <c:pt idx="8">
                  <c:v>118.47</c:v>
                </c:pt>
                <c:pt idx="9">
                  <c:v>120.05</c:v>
                </c:pt>
                <c:pt idx="10">
                  <c:v>119.77</c:v>
                </c:pt>
                <c:pt idx="11">
                  <c:v>119.48</c:v>
                </c:pt>
                <c:pt idx="12">
                  <c:v>118.72</c:v>
                </c:pt>
                <c:pt idx="13">
                  <c:v>123.38</c:v>
                </c:pt>
                <c:pt idx="14">
                  <c:v>122.56</c:v>
                </c:pt>
                <c:pt idx="15">
                  <c:v>117.44</c:v>
                </c:pt>
                <c:pt idx="16">
                  <c:v>122.68</c:v>
                </c:pt>
                <c:pt idx="17">
                  <c:v>124.31</c:v>
                </c:pt>
                <c:pt idx="18">
                  <c:v>184.27</c:v>
                </c:pt>
                <c:pt idx="19">
                  <c:v>158.19999999999999</c:v>
                </c:pt>
                <c:pt idx="20">
                  <c:v>154.46</c:v>
                </c:pt>
              </c:numCache>
            </c:numRef>
          </c:val>
          <c:smooth val="0"/>
          <c:extLst>
            <c:ext xmlns:c16="http://schemas.microsoft.com/office/drawing/2014/chart" uri="{C3380CC4-5D6E-409C-BE32-E72D297353CC}">
              <c16:uniqueId val="{00000000-5915-4048-AC5A-19184D5DCF82}"/>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首开龙湖天璞售价</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租金!$A$16</c:f>
              <c:strCache>
                <c:ptCount val="1"/>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租金!$B$16:$V$16</c:f>
              <c:numCache>
                <c:formatCode>General</c:formatCode>
                <c:ptCount val="21"/>
                <c:pt idx="1">
                  <c:v>116756</c:v>
                </c:pt>
                <c:pt idx="2">
                  <c:v>117666</c:v>
                </c:pt>
                <c:pt idx="3">
                  <c:v>122978</c:v>
                </c:pt>
                <c:pt idx="4">
                  <c:v>121719</c:v>
                </c:pt>
                <c:pt idx="5">
                  <c:v>119338</c:v>
                </c:pt>
                <c:pt idx="6">
                  <c:v>118794</c:v>
                </c:pt>
                <c:pt idx="7">
                  <c:v>120738</c:v>
                </c:pt>
                <c:pt idx="8">
                  <c:v>121389</c:v>
                </c:pt>
                <c:pt idx="9">
                  <c:v>120759</c:v>
                </c:pt>
                <c:pt idx="10">
                  <c:v>119050</c:v>
                </c:pt>
                <c:pt idx="11">
                  <c:v>120173</c:v>
                </c:pt>
                <c:pt idx="12">
                  <c:v>119438</c:v>
                </c:pt>
                <c:pt idx="13">
                  <c:v>119144</c:v>
                </c:pt>
                <c:pt idx="14">
                  <c:v>120715</c:v>
                </c:pt>
                <c:pt idx="15">
                  <c:v>115338</c:v>
                </c:pt>
                <c:pt idx="16">
                  <c:v>121638</c:v>
                </c:pt>
                <c:pt idx="17">
                  <c:v>119734</c:v>
                </c:pt>
                <c:pt idx="18">
                  <c:v>120274</c:v>
                </c:pt>
                <c:pt idx="19">
                  <c:v>121314</c:v>
                </c:pt>
                <c:pt idx="20">
                  <c:v>122865</c:v>
                </c:pt>
              </c:numCache>
            </c:numRef>
          </c:val>
          <c:smooth val="0"/>
          <c:extLst>
            <c:ext xmlns:c16="http://schemas.microsoft.com/office/drawing/2014/chart" uri="{C3380CC4-5D6E-409C-BE32-E72D297353CC}">
              <c16:uniqueId val="{00000000-F9EF-4E9F-9CE4-E44FA1CE47F5}"/>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461962</xdr:colOff>
      <xdr:row>17</xdr:row>
      <xdr:rowOff>104775</xdr:rowOff>
    </xdr:from>
    <xdr:to>
      <xdr:col>8</xdr:col>
      <xdr:colOff>461962</xdr:colOff>
      <xdr:row>32</xdr:row>
      <xdr:rowOff>133350</xdr:rowOff>
    </xdr:to>
    <xdr:graphicFrame macro="">
      <xdr:nvGraphicFramePr>
        <xdr:cNvPr id="2" name="图表 1">
          <a:extLst>
            <a:ext uri="{FF2B5EF4-FFF2-40B4-BE49-F238E27FC236}">
              <a16:creationId xmlns:a16="http://schemas.microsoft.com/office/drawing/2014/main" id="{906E0AAE-D310-4F1F-B459-6021FDF23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619125</xdr:colOff>
      <xdr:row>17</xdr:row>
      <xdr:rowOff>171450</xdr:rowOff>
    </xdr:from>
    <xdr:to>
      <xdr:col>11</xdr:col>
      <xdr:colOff>619125</xdr:colOff>
      <xdr:row>33</xdr:row>
      <xdr:rowOff>19050</xdr:rowOff>
    </xdr:to>
    <xdr:graphicFrame macro="">
      <xdr:nvGraphicFramePr>
        <xdr:cNvPr id="3" name="图表 2">
          <a:extLst>
            <a:ext uri="{FF2B5EF4-FFF2-40B4-BE49-F238E27FC236}">
              <a16:creationId xmlns:a16="http://schemas.microsoft.com/office/drawing/2014/main" id="{3B38263F-2A83-4C3F-A803-35675C75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12</xdr:row>
      <xdr:rowOff>164112</xdr:rowOff>
    </xdr:from>
    <xdr:to>
      <xdr:col>10</xdr:col>
      <xdr:colOff>322782</xdr:colOff>
      <xdr:row>32</xdr:row>
      <xdr:rowOff>132734</xdr:rowOff>
    </xdr:to>
    <xdr:pic>
      <xdr:nvPicPr>
        <xdr:cNvPr id="2" name="图片 1">
          <a:extLst>
            <a:ext uri="{FF2B5EF4-FFF2-40B4-BE49-F238E27FC236}">
              <a16:creationId xmlns:a16="http://schemas.microsoft.com/office/drawing/2014/main" id="{C1171AE4-0C6F-5C8E-E97B-9F5F02DE08F0}"/>
            </a:ext>
          </a:extLst>
        </xdr:cNvPr>
        <xdr:cNvPicPr>
          <a:picLocks noChangeAspect="1"/>
        </xdr:cNvPicPr>
      </xdr:nvPicPr>
      <xdr:blipFill>
        <a:blip xmlns:r="http://schemas.openxmlformats.org/officeDocument/2006/relationships" r:embed="rId1"/>
        <a:stretch>
          <a:fillRect/>
        </a:stretch>
      </xdr:blipFill>
      <xdr:spPr>
        <a:xfrm>
          <a:off x="1485900" y="2221512"/>
          <a:ext cx="5894907" cy="339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351686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21</xdr:row>
      <xdr:rowOff>121367</xdr:rowOff>
    </xdr:from>
    <xdr:to>
      <xdr:col>11</xdr:col>
      <xdr:colOff>399057</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3721817"/>
          <a:ext cx="7942857" cy="2838095"/>
        </a:xfrm>
        <a:prstGeom prst="rect">
          <a:avLst/>
        </a:prstGeom>
      </xdr:spPr>
    </xdr:pic>
    <xdr:clientData/>
  </xdr:twoCellAnchor>
  <xdr:twoCellAnchor editAs="oneCell">
    <xdr:from>
      <xdr:col>0</xdr:col>
      <xdr:colOff>0</xdr:colOff>
      <xdr:row>40</xdr:row>
      <xdr:rowOff>0</xdr:rowOff>
    </xdr:from>
    <xdr:to>
      <xdr:col>17</xdr:col>
      <xdr:colOff>531876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38376;&#22836;&#27807;&#20445;&#31199;&#25151;\2024-1-0369&#40857;&#28246;&#21271;&#36784;&#25597;&#22659;\&#40857;&#28246;&#39318;&#24320;&#22825;&#29854;-2024-&#19968;&#23457;&#25913;.xlsx" TargetMode="External"/><Relationship Id="rId1" Type="http://schemas.openxmlformats.org/officeDocument/2006/relationships/externalLinkPath" Target="/&#38376;&#22836;&#27807;&#20445;&#31199;&#25151;/2024-1-0369&#40857;&#28246;&#21271;&#36784;&#25597;&#22659;/&#40857;&#28246;&#39318;&#24320;&#22825;&#29854;-2024-&#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Sheet1"/>
      <sheetName val="案例"/>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地上住宅</v>
          </cell>
        </row>
        <row r="20">
          <cell r="C20" t="str">
            <v>地下住宅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cell r="D61" t="str">
            <v>挂牌</v>
          </cell>
        </row>
        <row r="63">
          <cell r="B63" t="str">
            <v>用途</v>
          </cell>
          <cell r="C63">
            <v>0</v>
          </cell>
        </row>
        <row r="86">
          <cell r="B86" t="str">
            <v>楼层-1</v>
          </cell>
        </row>
        <row r="88">
          <cell r="B88" t="str">
            <v>朝向</v>
          </cell>
          <cell r="C88" t="str">
            <v>南北东</v>
          </cell>
          <cell r="D88" t="str">
            <v>南北西</v>
          </cell>
          <cell r="E88" t="str">
            <v>南北</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估价对象为北京市房地产，为所有。根据《国有土地使用证》[]，估价对象（分摊）出让国有建设用地使用权面积为0平方米，建筑面积为184.86平方米。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估价对象为北京市房地产,属开发建设的，该项目尚在开发建设中。根据《国有土地使用证》[]，估价对象（分摊）出让国有建设用地使用权面积为0平方米，规划建筑面积为184.86平方米。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2023年8月30日</v>
      </c>
    </row>
    <row r="13" spans="1:2">
      <c r="A13" s="1118" t="s">
        <v>529</v>
      </c>
      <c r="B13" s="1119"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184.86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215" t="s">
        <v>2583</v>
      </c>
      <c r="J2" s="3215"/>
      <c r="K2" s="3215"/>
      <c r="L2" s="3215"/>
      <c r="M2" s="3215"/>
      <c r="N2" s="3215"/>
      <c r="O2" s="3215"/>
      <c r="P2" s="3215"/>
      <c r="Q2" s="3215"/>
      <c r="R2" s="3215"/>
    </row>
    <row r="3" spans="1:18">
      <c r="A3" s="2762" t="s">
        <v>2504</v>
      </c>
      <c r="B3" s="2763">
        <f>项目基本情况!D3</f>
        <v>45168</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3.3</v>
      </c>
      <c r="D5" s="2767">
        <f>IF(ISERROR(ROUND(POWER(1+E5,A5-C5)*(POWER(1+E5,C5)-1)/(POWER(1+E5,A5)-1),3)),0,ROUND(POWER(1+E5,A5-C5)*(POWER(1+E5,C5)-1)/(POWER(1+E5,A5)-1),4))</f>
        <v>0.15329999999999999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13.31</v>
      </c>
      <c r="D6" s="2767">
        <f>IF(ISERROR(ROUND(POWER(1+E6,A6-C6)*(POWER(1+E6,C6)-1)/(POWER(1+E6,A6)-1),3)),0,ROUND(POWER(1+E6,A6-C6)*(POWER(1+E6,C6)-1)/(POWER(1+E6,A6)-1),4))</f>
        <v>0.4733</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33.32</v>
      </c>
      <c r="D7" s="2767">
        <f>IF(ISERROR(ROUND(POWER(1+E7,A7-C7)*(POWER(1+E7,C7)-1)/(POWER(1+E7,A7)-1),3)),0,ROUND(POWER(1+E7,A7-C7)*(POWER(1+E7,C7)-1)/(POWER(1+E7,A7)-1),4))</f>
        <v>0.77939999999999998</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3" t="str">
        <f>IF(B10="北京市","北京市",C10)&amp;F10&amp;IF(结果表!G1="在建","出让国有建设用地使用权及在建建筑物",IF(结果表!G1="土地","出让国有建设用地使用权",))&amp;B9&amp;"预评估"</f>
        <v>北京市房地产市场价值预评估</v>
      </c>
      <c r="C1" s="3224"/>
      <c r="D1" s="3224"/>
      <c r="E1" s="3224"/>
      <c r="F1" s="3224"/>
      <c r="G1" s="3224"/>
      <c r="H1" s="3224"/>
      <c r="I1" s="322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45419</v>
      </c>
      <c r="C3" s="2185" t="s">
        <v>2171</v>
      </c>
      <c r="D3" s="2184">
        <v>45168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3379</v>
      </c>
      <c r="C8" s="2200"/>
      <c r="D8" s="3226"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27"/>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21" t="s">
        <v>3335</v>
      </c>
      <c r="B13" s="2217" t="s">
        <v>2190</v>
      </c>
      <c r="C13" s="803">
        <v>67605</v>
      </c>
      <c r="D13" s="803"/>
      <c r="E13" s="803"/>
      <c r="F13" s="803"/>
      <c r="G13" s="803"/>
      <c r="H13" s="803"/>
      <c r="I13" s="803"/>
      <c r="J13" s="2802"/>
      <c r="K13" s="2398"/>
      <c r="L13" s="2398"/>
      <c r="M13" s="2244"/>
      <c r="N13" s="1669"/>
      <c r="O13" s="2244"/>
      <c r="P13" s="2244"/>
      <c r="Q13" s="2244"/>
      <c r="AD13" s="1617"/>
    </row>
    <row r="14" spans="1:30">
      <c r="A14" s="1018"/>
      <c r="B14" s="2217" t="s">
        <v>2191</v>
      </c>
      <c r="C14" s="2218">
        <v>70</v>
      </c>
      <c r="D14" s="2218"/>
      <c r="E14" s="2218"/>
      <c r="F14" s="2218"/>
      <c r="G14" s="2218"/>
      <c r="H14" s="2218"/>
      <c r="I14" s="2218"/>
      <c r="J14" s="2803"/>
      <c r="K14" s="2398"/>
      <c r="L14" s="2398"/>
      <c r="M14" s="2244"/>
      <c r="N14" s="1669"/>
      <c r="O14" s="2244"/>
      <c r="P14" s="2244"/>
      <c r="Q14" s="2244"/>
      <c r="AD14" s="1617"/>
    </row>
    <row r="15" spans="1:30">
      <c r="A15" s="312"/>
      <c r="B15" s="2219" t="s">
        <v>2192</v>
      </c>
      <c r="C15" s="2220">
        <f>IF(A13="出让",IF(C13="","",ROUNDDOWN(MIN((C13-$D$3)/365,C14),2)),C14)</f>
        <v>61.47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3"/>
      <c r="C16" s="3234"/>
      <c r="D16" s="3235"/>
      <c r="E16" s="2221" t="s">
        <v>2194</v>
      </c>
      <c r="F16" s="3236"/>
      <c r="G16" s="3237"/>
      <c r="H16" s="3237"/>
      <c r="I16" s="3238"/>
      <c r="J16" s="2244"/>
      <c r="K16" s="2402"/>
      <c r="L16" s="1669"/>
      <c r="M16" s="1669"/>
      <c r="N16" s="2244"/>
      <c r="O16" s="1669"/>
      <c r="P16" s="2244"/>
      <c r="Q16" s="2244"/>
      <c r="R16" s="2244"/>
    </row>
    <row r="17" spans="1:28">
      <c r="A17" s="305" t="s">
        <v>2195</v>
      </c>
      <c r="B17" s="294" t="s">
        <v>2196</v>
      </c>
      <c r="C17" s="8">
        <f>'数据-汇总表'!E3</f>
        <v>184.86</v>
      </c>
      <c r="D17" s="1255" t="s">
        <v>2197</v>
      </c>
      <c r="E17" s="3239" t="s">
        <v>2198</v>
      </c>
      <c r="F17" s="3240"/>
      <c r="G17" s="3240"/>
      <c r="H17" s="3240"/>
      <c r="I17" s="3241"/>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42" t="s">
        <v>2202</v>
      </c>
      <c r="F18" s="3243"/>
      <c r="G18" s="3243"/>
      <c r="H18" s="3243"/>
      <c r="I18" s="3244"/>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9" t="s">
        <v>2206</v>
      </c>
      <c r="C20" s="3230"/>
      <c r="D20" s="3231" t="s">
        <v>2207</v>
      </c>
      <c r="E20" s="3232"/>
      <c r="F20" s="2429" t="s">
        <v>1056</v>
      </c>
      <c r="G20" s="2441"/>
      <c r="H20" s="2441"/>
      <c r="I20" s="2441"/>
      <c r="J20" s="2244"/>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7"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7"/>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7"/>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8"/>
      <c r="B30" s="294" t="s">
        <v>2218</v>
      </c>
      <c r="C30" s="3219"/>
      <c r="D30" s="3220"/>
      <c r="E30" s="2441"/>
      <c r="F30" s="2441"/>
      <c r="G30" s="2441"/>
      <c r="H30" s="2441"/>
      <c r="I30" s="2441"/>
      <c r="J30" s="2244"/>
      <c r="K30" s="2401"/>
      <c r="L30" s="2398"/>
      <c r="M30" s="2398"/>
      <c r="N30" s="2244"/>
      <c r="O30" s="1669"/>
      <c r="P30" s="2244"/>
      <c r="Q30" s="2244"/>
      <c r="R30" s="2244"/>
      <c r="S30" s="2244"/>
      <c r="T30" s="2244"/>
      <c r="U30" s="2244"/>
      <c r="V30" s="2244"/>
    </row>
    <row r="31" spans="1:28">
      <c r="A31" s="3221"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t="s">
        <v>279</v>
      </c>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184.86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3390</v>
      </c>
      <c r="J9" s="761"/>
      <c r="K9" s="1490" t="s">
        <v>3391</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3387</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3389</v>
      </c>
      <c r="E13" s="13">
        <f>IF($C$3="是",ROUND($A$3*G13/$B$3,2),ROUND($A$3*(G13-AT13)/$B$3,2))</f>
        <v>0</v>
      </c>
      <c r="F13" s="29"/>
      <c r="G13" s="30">
        <f>H13+AC13+AT13</f>
        <v>184.86</v>
      </c>
      <c r="H13" s="17">
        <f>SUMIF(I$12:AB$12,"总值",I13:AB13)</f>
        <v>184.86</v>
      </c>
      <c r="I13" s="1513">
        <f>184.86-K13</f>
        <v>184.86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2" t="s">
        <v>1108</v>
      </c>
      <c r="F2" s="2438"/>
      <c r="G2" s="2431"/>
      <c r="H2" s="2432"/>
      <c r="I2" s="2145" t="s">
        <v>1132</v>
      </c>
      <c r="J2" s="2438"/>
      <c r="K2" s="2438"/>
      <c r="L2" s="2438"/>
      <c r="M2" s="2438"/>
      <c r="N2" s="2439"/>
      <c r="O2" s="2438"/>
      <c r="P2" s="2438"/>
    </row>
    <row r="3" spans="1:16" ht="15.75" thickBot="1">
      <c r="A3" s="3255" t="s">
        <v>1105</v>
      </c>
      <c r="B3" s="3255"/>
      <c r="C3" s="3255"/>
      <c r="D3" s="41">
        <f>'数据-基础表'!AY6</f>
        <v>0</v>
      </c>
      <c r="E3" s="41">
        <f>'数据-基础表'!AZ5</f>
        <v>184.86</v>
      </c>
      <c r="F3" s="2438"/>
      <c r="G3" s="42"/>
      <c r="H3" s="43" t="s">
        <v>1106</v>
      </c>
      <c r="I3" s="802" t="e">
        <f>ROUND('数据-基础表'!B3/'数据-基础表'!A3,2)</f>
        <v>#DIV/0!</v>
      </c>
      <c r="J3" s="2438"/>
      <c r="K3" s="2438"/>
      <c r="L3" s="2438"/>
      <c r="M3" s="2438"/>
      <c r="N3" s="2439"/>
      <c r="O3" s="2438"/>
      <c r="P3" s="2438"/>
    </row>
    <row r="4" spans="1:16" ht="15">
      <c r="A4" s="3256"/>
      <c r="B4" s="3257"/>
      <c r="C4" s="3258"/>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9" t="s">
        <v>1110</v>
      </c>
      <c r="C5" s="3259"/>
      <c r="D5" s="43">
        <f>ROUND($D$3*E5/$E$3,2)</f>
        <v>0</v>
      </c>
      <c r="E5" s="44">
        <f>SUMIF('数据-基础表'!$11:$11,"住宅",'数据-基础表'!$5:$5)</f>
        <v>184.86</v>
      </c>
      <c r="F5" s="2438"/>
      <c r="G5" s="42"/>
      <c r="H5" s="43" t="s">
        <v>1106</v>
      </c>
      <c r="I5" s="802" t="e">
        <f>ROUND(E31/D31,2)</f>
        <v>#DIV/0!</v>
      </c>
      <c r="J5" s="2438"/>
      <c r="K5" s="2438"/>
      <c r="L5" s="2438"/>
      <c r="M5" s="2438"/>
      <c r="N5" s="2438"/>
      <c r="O5" s="2438"/>
      <c r="P5" s="2438"/>
    </row>
    <row r="6" spans="1:16" ht="15" thickBot="1">
      <c r="A6" s="1526"/>
      <c r="B6" s="3259" t="s">
        <v>1111</v>
      </c>
      <c r="C6" s="3259"/>
      <c r="D6" s="43">
        <f>ROUND($D$3*E6/$E$3,2)</f>
        <v>0</v>
      </c>
      <c r="E6" s="44">
        <f>E3-E5</f>
        <v>0</v>
      </c>
      <c r="F6" s="2438"/>
      <c r="G6" s="1528" t="s">
        <v>1112</v>
      </c>
      <c r="H6" s="45" t="s">
        <v>1113</v>
      </c>
      <c r="I6" s="2434" t="e">
        <f>ROUND(F31/D31,2)</f>
        <v>#DIV/0!</v>
      </c>
      <c r="J6" s="2438"/>
      <c r="K6" s="2438"/>
      <c r="L6" s="2438"/>
      <c r="M6" s="2438"/>
      <c r="N6" s="2438"/>
      <c r="O6" s="2438"/>
      <c r="P6" s="2438"/>
    </row>
    <row r="7" spans="1:16" ht="15.75" thickBot="1">
      <c r="A7" s="3251"/>
      <c r="B7" s="3252"/>
      <c r="C7" s="3253"/>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184.86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184.86</v>
      </c>
      <c r="F16" s="2438"/>
      <c r="G16" s="2438"/>
      <c r="H16" s="1530" t="s">
        <v>1135</v>
      </c>
      <c r="I16" s="1531"/>
      <c r="J16" s="1071"/>
      <c r="K16" s="3248" t="s">
        <v>1135</v>
      </c>
      <c r="L16" s="3249"/>
      <c r="M16" s="3249"/>
      <c r="N16" s="3249"/>
      <c r="O16" s="3249"/>
      <c r="P16" s="3250"/>
    </row>
    <row r="17" spans="1:19" ht="15">
      <c r="A17" s="1532" t="s">
        <v>1136</v>
      </c>
      <c r="B17" s="1533" t="s">
        <v>1137</v>
      </c>
      <c r="C17" s="1534" t="s">
        <v>1138</v>
      </c>
      <c r="D17" s="1535" t="s">
        <v>1126</v>
      </c>
      <c r="E17" s="1536" t="s">
        <v>1127</v>
      </c>
      <c r="F17" s="1537"/>
      <c r="G17" s="1538"/>
      <c r="H17" s="1539" t="s">
        <v>1139</v>
      </c>
      <c r="I17" s="1540" t="s">
        <v>1124</v>
      </c>
      <c r="J17" s="1071"/>
      <c r="K17" s="3245" t="s">
        <v>1140</v>
      </c>
      <c r="L17" s="3246"/>
      <c r="M17" s="3247"/>
      <c r="N17" s="3245" t="s">
        <v>1141</v>
      </c>
      <c r="O17" s="3246"/>
      <c r="P17" s="324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3393</v>
      </c>
      <c r="D19" s="43">
        <f>ROUND($D$3*E19/$E$3,2)</f>
        <v>0</v>
      </c>
      <c r="E19" s="51">
        <f t="shared" ref="E19:E26" si="1">SUM(F19:G19)</f>
        <v>184.86</v>
      </c>
      <c r="F19" s="2557">
        <f>'数据-基础表'!I13</f>
        <v>184.86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184.86</v>
      </c>
    </row>
    <row r="20" spans="1:19">
      <c r="A20" s="1548"/>
      <c r="B20" s="45" t="s">
        <v>1153</v>
      </c>
      <c r="C20" s="3115" t="s">
        <v>3394</v>
      </c>
      <c r="D20" s="43">
        <f t="shared" ref="D20:D26" si="6">ROUND($D$3*E20/$E$3,2)</f>
        <v>0</v>
      </c>
      <c r="E20" s="51">
        <f t="shared" si="1"/>
        <v>0</v>
      </c>
      <c r="F20" s="2557"/>
      <c r="G20" s="1242">
        <f>'数据-基础表'!K13</f>
        <v>0</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184.86</v>
      </c>
      <c r="F31" s="644">
        <f>F27+F30</f>
        <v>184.86</v>
      </c>
      <c r="G31" s="645">
        <f>G27+G30</f>
        <v>0</v>
      </c>
      <c r="H31" s="2438"/>
      <c r="I31" s="2438"/>
      <c r="J31" s="2438"/>
      <c r="K31" s="2438"/>
      <c r="L31" s="2438"/>
      <c r="M31" s="2438"/>
      <c r="N31" s="2438"/>
      <c r="O31" s="2438"/>
      <c r="P31" s="2438"/>
    </row>
    <row r="32" spans="1:19">
      <c r="A32" s="1525"/>
      <c r="B32" s="1525" t="s">
        <v>1159</v>
      </c>
      <c r="C32" s="1525"/>
      <c r="D32" s="1525"/>
      <c r="E32" s="990">
        <f>SUMIF(C19:C26,"*住宅*",E19:E26)</f>
        <v>184.86</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45168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地上住宅</v>
      </c>
      <c r="B6" s="1586" t="str">
        <f>IF(A6=0,"","经营性")</f>
        <v>经营性</v>
      </c>
      <c r="C6" s="1587" t="s">
        <v>3387</v>
      </c>
      <c r="D6" s="805">
        <f>SUMIF(项目基本情况!C$12:I$12,C6,项目基本情况!C$14:I$14)</f>
        <v>70</v>
      </c>
      <c r="E6" s="804">
        <f>IF(B6="","",SUMIF(项目基本情况!C$12:I$12,C6,项目基本情况!C$13:I$13))</f>
        <v>67605</v>
      </c>
      <c r="F6" s="61">
        <f>SUMIF(项目基本情况!C$12:I$12,C6,项目基本情况!C$15:I$15)</f>
        <v>61.47</v>
      </c>
      <c r="G6" s="62">
        <f>IF(ISERROR(ROUND(POWER(1+H6,D6-F6)*(POWER(1+H6,F6)-1)/(POWER(1+H6,D6)-1),3)),0,ROUND(POWER(1+H6,D6-F6)*(POWER(1+H6,F6)-1)/(POWER(1+H6,D6)-1),3))</f>
        <v>0</v>
      </c>
      <c r="H6" s="691"/>
      <c r="I6" s="691">
        <v>2.5000000000000001E-2</v>
      </c>
      <c r="J6" s="63">
        <v>5.5E-2</v>
      </c>
      <c r="K6" s="970">
        <f>SUMIF('数据-汇总表'!C$19:C$33,A6,'数据-汇总表'!E$19:E$33)</f>
        <v>184.86</v>
      </c>
      <c r="L6" s="692">
        <v>4500</v>
      </c>
      <c r="M6" s="64">
        <f t="shared" ref="M6:M14" si="0">ROUND(K6*L6/10000,0)</f>
        <v>83</v>
      </c>
      <c r="N6" s="690">
        <v>0.9</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27800</v>
      </c>
      <c r="V6" s="67">
        <v>0.01</v>
      </c>
      <c r="W6" s="67">
        <v>0.05</v>
      </c>
      <c r="X6" s="979"/>
      <c r="Y6" s="68">
        <f>N6</f>
        <v>0.9</v>
      </c>
      <c r="Z6" s="69"/>
      <c r="AA6" s="63"/>
      <c r="AB6" s="63"/>
      <c r="AC6" s="979"/>
      <c r="AD6" s="70"/>
      <c r="AE6" s="980">
        <f ca="1">IF(AN6="",0,SUMIF(INDIRECT("'"&amp;AN6&amp;"'"&amp;"!E:E"),$AE$5,INDIRECT("'"&amp;AN6&amp;"'"&amp;"!F:F")))</f>
        <v>54</v>
      </c>
      <c r="AF6" s="74"/>
      <c r="AG6" s="130">
        <f>IF(AF6="",0,AE6-AF6)</f>
        <v>0</v>
      </c>
      <c r="AH6" s="71">
        <v>1</v>
      </c>
      <c r="AI6" s="73">
        <v>12</v>
      </c>
      <c r="AJ6" s="74"/>
      <c r="AK6" s="75">
        <v>1.4999999999999999E-2</v>
      </c>
      <c r="AL6" s="76">
        <v>1.5E-3</v>
      </c>
      <c r="AM6" s="77">
        <v>0.01</v>
      </c>
      <c r="AN6" s="1588" t="s">
        <v>3405</v>
      </c>
      <c r="AO6" s="50">
        <f ca="1">SUMIF(INDIRECT("'"&amp;AN6&amp;"'"&amp;"!A:A"),"总价",INDIRECT("'"&amp;AN6&amp;"'"&amp;"!B:B"))</f>
        <v>1022.6119</v>
      </c>
      <c r="AP6" s="1589">
        <f>IF(C6="住宅",K6*L6,0)</f>
        <v>831870.00000000012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地下住宅</v>
      </c>
      <c r="B7" s="1586" t="str">
        <f t="shared" ref="B7:B13" si="1">IF(A7=0,"","经营性")</f>
        <v>经营性</v>
      </c>
      <c r="C7" s="1587" t="s">
        <v>3387</v>
      </c>
      <c r="D7" s="805">
        <f>SUMIF(项目基本情况!C$12:I$12,C7,项目基本情况!C$14:I$14)</f>
        <v>70</v>
      </c>
      <c r="E7" s="804">
        <f>IF(B7="","",SUMIF(项目基本情况!C$12:I$12,C7,项目基本情况!C$13:I$13))</f>
        <v>67605</v>
      </c>
      <c r="F7" s="61">
        <f>SUMIF(项目基本情况!C$12:I$12,C7,项目基本情况!C$15:I$15)</f>
        <v>61.47</v>
      </c>
      <c r="G7" s="62">
        <f t="shared" ref="G7:G11" si="2">IF(ISERROR(ROUND(POWER(1+H7,D7-F7)*(POWER(1+H7,F7)-1)/(POWER(1+H7,D7)-1),3)),0,ROUND(POWER(1+H7,D7-F7)*(POWER(1+H7,F7)-1)/(POWER(1+H7,D7)-1),3))</f>
        <v>0</v>
      </c>
      <c r="H7" s="691"/>
      <c r="I7" s="691">
        <f>I6</f>
        <v>2.5000000000000001E-2</v>
      </c>
      <c r="J7" s="63">
        <v>5.5E-2</v>
      </c>
      <c r="K7" s="970">
        <f>SUMIF('数据-汇总表'!C$19:C$33,A7,'数据-汇总表'!E$19:E$33)</f>
        <v>0</v>
      </c>
      <c r="L7" s="692">
        <f>L6</f>
        <v>4500</v>
      </c>
      <c r="M7" s="64">
        <f t="shared" si="0"/>
        <v>0</v>
      </c>
      <c r="N7" s="690">
        <f>N6</f>
        <v>0.9</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184.86</v>
      </c>
      <c r="L16" s="87">
        <f>ROUND(M16*10000/SUM(K6:K14),0)</f>
        <v>4490</v>
      </c>
      <c r="M16" s="87">
        <f>SUM(M6:M14)</f>
        <v>83</v>
      </c>
      <c r="N16" s="88">
        <f>ROUND(SUMPRODUCT(M6:M14,N6:N14)/M16,3)</f>
        <v>0.9</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v>2024</v>
      </c>
      <c r="M19" s="2448">
        <f>1-(L19-2017)/60</f>
        <v>0.8833333333333333</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2303</v>
      </c>
      <c r="D20" s="2451"/>
      <c r="E20" s="2438"/>
      <c r="F20" s="2438"/>
      <c r="G20" s="2438"/>
      <c r="H20" s="2438"/>
      <c r="I20" s="2438"/>
      <c r="J20" s="2438"/>
      <c r="K20" s="2449"/>
      <c r="L20" s="2449">
        <v>2023</v>
      </c>
      <c r="M20" s="2448">
        <f>1-(L20-2017)/60</f>
        <v>0.9</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3447</v>
      </c>
      <c r="B40" s="1015">
        <f ca="1">IF(A40="利息：取LPR",存贷款利率!G1,存贷款利率!G1+C40)</f>
        <v>3.4500000000000003E-2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184.86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45168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1795.8040000000001</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6"/>
      <c r="F10" s="3140" t="s">
        <v>3361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184.86</v>
      </c>
      <c r="C14" s="2305"/>
      <c r="D14" s="2305">
        <f ca="1">ROUND(E14*B14/10000,4)</f>
        <v>1795.8040000000001</v>
      </c>
      <c r="E14" s="2305">
        <f ca="1">结果表!G20</f>
        <v>97144</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6" t="str">
        <f>项目基本情况!S2</f>
        <v>北京市房地产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23" t="s">
        <v>1265</v>
      </c>
      <c r="B4" s="1624" t="s">
        <v>1266</v>
      </c>
      <c r="C4" s="1625" t="s">
        <v>3405</v>
      </c>
      <c r="D4" s="1625" t="s">
        <v>3404</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6" t="s">
        <v>1268</v>
      </c>
      <c r="B5" s="3263">
        <v>25</v>
      </c>
      <c r="C5" s="3279"/>
      <c r="D5" s="3299"/>
      <c r="E5" s="123" t="s">
        <v>1269</v>
      </c>
      <c r="F5" s="1626"/>
      <c r="G5" s="1626"/>
      <c r="H5" s="1626"/>
      <c r="I5" s="1280"/>
    </row>
    <row r="6" spans="1:12" ht="12.75">
      <c r="A6" s="3276"/>
      <c r="B6" s="3263"/>
      <c r="C6" s="3280"/>
      <c r="D6" s="3299"/>
      <c r="E6" s="123" t="s">
        <v>1270</v>
      </c>
      <c r="F6" s="1626"/>
      <c r="G6" s="1626"/>
      <c r="H6" s="1626"/>
      <c r="I6" s="1280"/>
    </row>
    <row r="7" spans="1:12" ht="12.75">
      <c r="A7" s="3276"/>
      <c r="B7" s="3263"/>
      <c r="C7" s="3281"/>
      <c r="D7" s="3299"/>
      <c r="E7" s="123" t="s">
        <v>1271</v>
      </c>
      <c r="F7" s="1626"/>
      <c r="G7" s="1626"/>
      <c r="H7" s="1626"/>
      <c r="I7" s="1280"/>
    </row>
    <row r="8" spans="1:12" ht="12.75">
      <c r="A8" s="3276" t="s">
        <v>1272</v>
      </c>
      <c r="B8" s="3263">
        <v>15</v>
      </c>
      <c r="C8" s="3279"/>
      <c r="D8" s="3299"/>
      <c r="E8" s="123" t="s">
        <v>1273</v>
      </c>
      <c r="F8" s="1626"/>
      <c r="G8" s="1626"/>
      <c r="H8" s="1626"/>
      <c r="I8" s="1280"/>
    </row>
    <row r="9" spans="1:12" ht="12.75">
      <c r="A9" s="3276"/>
      <c r="B9" s="3263"/>
      <c r="C9" s="3281"/>
      <c r="D9" s="3299"/>
      <c r="E9" s="123" t="s">
        <v>1274</v>
      </c>
      <c r="F9" s="1626"/>
      <c r="G9" s="1626"/>
      <c r="H9" s="1626"/>
      <c r="I9" s="1280"/>
    </row>
    <row r="10" spans="1:12" ht="12.75">
      <c r="A10" s="3276" t="s">
        <v>1275</v>
      </c>
      <c r="B10" s="3263">
        <v>15</v>
      </c>
      <c r="C10" s="3279"/>
      <c r="D10" s="3299"/>
      <c r="E10" s="123" t="s">
        <v>1276</v>
      </c>
      <c r="F10" s="1626"/>
      <c r="G10" s="1626"/>
      <c r="H10" s="1626"/>
      <c r="I10" s="1280"/>
    </row>
    <row r="11" spans="1:12" ht="12.75">
      <c r="A11" s="3276"/>
      <c r="B11" s="3263"/>
      <c r="C11" s="3281"/>
      <c r="D11" s="3299"/>
      <c r="E11" s="123" t="s">
        <v>1277</v>
      </c>
      <c r="F11" s="1626"/>
      <c r="G11" s="1626"/>
      <c r="H11" s="1626"/>
      <c r="I11" s="1280"/>
    </row>
    <row r="12" spans="1:12" ht="12.75">
      <c r="A12" s="3276" t="s">
        <v>1278</v>
      </c>
      <c r="B12" s="3263">
        <v>15</v>
      </c>
      <c r="C12" s="3279"/>
      <c r="D12" s="3299"/>
      <c r="E12" s="123" t="s">
        <v>1279</v>
      </c>
      <c r="F12" s="1626"/>
      <c r="G12" s="1626"/>
      <c r="H12" s="1626"/>
      <c r="I12" s="1280"/>
    </row>
    <row r="13" spans="1:12" ht="12.75">
      <c r="A13" s="3276"/>
      <c r="B13" s="3263"/>
      <c r="C13" s="3281"/>
      <c r="D13" s="3299"/>
      <c r="E13" s="123" t="s">
        <v>1280</v>
      </c>
      <c r="F13" s="1626"/>
      <c r="G13" s="1626"/>
      <c r="H13" s="1626"/>
      <c r="I13" s="1280"/>
    </row>
    <row r="14" spans="1:12" ht="12.75">
      <c r="A14" s="3276" t="s">
        <v>1281</v>
      </c>
      <c r="B14" s="3263">
        <v>30</v>
      </c>
      <c r="C14" s="3279">
        <v>2</v>
      </c>
      <c r="D14" s="3299">
        <f>10-C14</f>
        <v>8</v>
      </c>
      <c r="E14" s="123" t="s">
        <v>1282</v>
      </c>
      <c r="F14" s="1626"/>
      <c r="G14" s="1626"/>
      <c r="H14" s="1626"/>
      <c r="I14" s="1280"/>
    </row>
    <row r="15" spans="1:12" ht="12.75">
      <c r="A15" s="3276"/>
      <c r="B15" s="3263"/>
      <c r="C15" s="3280"/>
      <c r="D15" s="3299"/>
      <c r="E15" s="123" t="s">
        <v>1283</v>
      </c>
      <c r="F15" s="1626"/>
      <c r="G15" s="1626"/>
      <c r="H15" s="1626"/>
      <c r="I15" s="1280"/>
    </row>
    <row r="16" spans="1:12" ht="12.75">
      <c r="A16" s="3276"/>
      <c r="B16" s="3263"/>
      <c r="C16" s="3281"/>
      <c r="D16" s="3299"/>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86" t="s">
        <v>2131</v>
      </c>
      <c r="F18" s="3287"/>
      <c r="G18" s="3287"/>
      <c r="H18" s="3287"/>
      <c r="I18" s="3287"/>
      <c r="K18" s="294" t="s">
        <v>1289</v>
      </c>
      <c r="L18" s="294">
        <f>IF(C1="",'数据-汇总表'!E3,SUMIF(项目类型,C1,'数据-汇总表'!E17:E26)+SUMIF(项目类型,C1,'数据-汇总表'!I17:I26))</f>
        <v>184.86</v>
      </c>
      <c r="M18" s="294">
        <f>IF(C1="",'数据-汇总表'!E3,SUMIF(项目类型,C1,'数据-汇总表'!E17:E26))</f>
        <v>184.86</v>
      </c>
    </row>
    <row r="19" spans="1:36" ht="15">
      <c r="A19" s="1629" t="s">
        <v>1290</v>
      </c>
      <c r="B19" s="1630" t="s">
        <v>1291</v>
      </c>
      <c r="C19" s="126">
        <f ca="1">SUMIF(INDIRECT("'"&amp;C4&amp;"'"&amp;"!A:A"),结果表!B19,INDIRECT("'"&amp;C4&amp;"'"&amp;"!B:B"))</f>
        <v>1022.6119</v>
      </c>
      <c r="D19" s="127">
        <f ca="1">SUMIF(INDIRECT("'"&amp;D4&amp;"'"&amp;"!A:A"),结果表!B19,INDIRECT("'"&amp;D4&amp;"'"&amp;"!B:B"))</f>
        <v>1989.0935999999999</v>
      </c>
      <c r="E19" s="1629" t="s">
        <v>1292</v>
      </c>
      <c r="F19" s="1630" t="s">
        <v>1291</v>
      </c>
      <c r="G19" s="128">
        <f ca="1">ROUND(C19*$C$18+D19*$D$18,0)</f>
        <v>1796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55318</v>
      </c>
      <c r="D20" s="130">
        <f ca="1">SUMIF(INDIRECT("'"&amp;D4&amp;"'"&amp;"!A:A"),结果表!B20,INDIRECT("'"&amp;D4&amp;"'"&amp;"!B:B"))</f>
        <v>107600</v>
      </c>
      <c r="E20" s="1632"/>
      <c r="F20" s="43" t="s">
        <v>1295</v>
      </c>
      <c r="G20" s="131">
        <f ca="1">ROUND(C20*$C$18+D20*$D$18,0)</f>
        <v>97144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0.94511094580456168</v>
      </c>
      <c r="E22" s="121"/>
      <c r="F22" s="121"/>
      <c r="G22" s="121"/>
      <c r="H22" s="121"/>
      <c r="I22" s="121"/>
    </row>
    <row r="23" spans="1:36" ht="13.5" thickBot="1">
      <c r="A23" s="646"/>
      <c r="B23" s="646"/>
      <c r="C23" s="646"/>
      <c r="D23" s="646"/>
      <c r="E23" s="121"/>
      <c r="F23" s="121"/>
      <c r="G23" s="121"/>
      <c r="H23" s="121"/>
      <c r="I23" s="121"/>
    </row>
    <row r="24" spans="1:36" ht="14.25">
      <c r="A24" s="3270" t="s">
        <v>1299</v>
      </c>
      <c r="B24" s="1630" t="s">
        <v>1291</v>
      </c>
      <c r="C24" s="128">
        <f>IF(B30=0,0,D30)</f>
        <v>0</v>
      </c>
      <c r="D24" s="1636"/>
      <c r="E24" s="121"/>
      <c r="F24" s="121"/>
      <c r="G24" s="121"/>
      <c r="H24" s="121"/>
      <c r="I24" s="121"/>
    </row>
    <row r="25" spans="1:36" ht="14.25">
      <c r="A25" s="327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97144</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0" t="s">
        <v>1312</v>
      </c>
      <c r="B36" s="1651" t="s">
        <v>1313</v>
      </c>
      <c r="C36" s="137"/>
      <c r="D36" s="1652"/>
      <c r="E36" s="1566"/>
      <c r="F36" s="1653"/>
      <c r="G36" s="121"/>
      <c r="H36" s="121"/>
      <c r="I36" s="121"/>
    </row>
    <row r="37" spans="1:15" ht="15.75" thickBot="1">
      <c r="A37" s="3291"/>
      <c r="B37" s="1554" t="s">
        <v>1314</v>
      </c>
      <c r="C37" s="139"/>
      <c r="D37" s="1071"/>
      <c r="E37" s="1071"/>
      <c r="F37" s="1653"/>
      <c r="G37" s="121"/>
      <c r="H37" s="121"/>
      <c r="I37" s="121"/>
    </row>
    <row r="38" spans="1:15" ht="15.75" thickBot="1">
      <c r="A38" s="329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7" t="s">
        <v>1326</v>
      </c>
      <c r="B45" s="3268"/>
      <c r="C45" s="3269"/>
      <c r="D45" s="147" t="e">
        <f ca="1">ROUND(H101*F45,0)</f>
        <v>#REF!</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7"/>
      <c r="I46" s="151"/>
      <c r="J46" s="2309">
        <v>1</v>
      </c>
      <c r="K46" s="3326" t="s">
        <v>1331</v>
      </c>
      <c r="L46" s="3326"/>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26" t="s">
        <v>1337</v>
      </c>
      <c r="L47" s="3326"/>
      <c r="M47" s="3347">
        <f>'数据-取费表'!B2</f>
        <v>45168</v>
      </c>
      <c r="N47" s="3347"/>
      <c r="O47" s="3347"/>
    </row>
    <row r="48" spans="1:15" ht="25.5">
      <c r="A48" s="3295" t="s">
        <v>1338</v>
      </c>
      <c r="B48" s="3278"/>
      <c r="C48" s="32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26" t="s">
        <v>1340</v>
      </c>
      <c r="L48" s="3326"/>
      <c r="M48" s="3348" t="e">
        <f ca="1">H101</f>
        <v>#REF!</v>
      </c>
      <c r="N48" s="3348"/>
      <c r="O48" s="3348"/>
    </row>
    <row r="49" spans="1:35" ht="25.5" customHeight="1">
      <c r="A49" s="2151" t="s">
        <v>1341</v>
      </c>
      <c r="B49" s="3262" t="s">
        <v>1342</v>
      </c>
      <c r="C49" s="3262"/>
      <c r="D49" s="1477">
        <v>0</v>
      </c>
      <c r="E49" s="316" t="s">
        <v>1343</v>
      </c>
      <c r="F49" s="2232" t="s">
        <v>28</v>
      </c>
      <c r="G49" s="3332"/>
      <c r="H49" s="2133" t="s">
        <v>2134</v>
      </c>
      <c r="I49" s="2134"/>
      <c r="J49" s="2309">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2337"/>
      <c r="B50" s="3262" t="s">
        <v>1344</v>
      </c>
      <c r="C50" s="3262"/>
      <c r="D50" s="2188"/>
      <c r="E50" s="323"/>
      <c r="F50" s="2232"/>
      <c r="G50" s="3333"/>
      <c r="H50" s="2135" t="s">
        <v>2135</v>
      </c>
      <c r="I50" s="2134"/>
      <c r="J50" s="3345" t="s">
        <v>1345</v>
      </c>
      <c r="K50" s="3345"/>
      <c r="L50" s="3345"/>
      <c r="M50" s="3345"/>
      <c r="N50" s="3345"/>
      <c r="O50" s="3345"/>
    </row>
    <row r="51" spans="1:35" ht="20.45" customHeight="1">
      <c r="A51" s="2338"/>
      <c r="B51" s="3262" t="s">
        <v>1346</v>
      </c>
      <c r="C51" s="3262"/>
      <c r="D51" s="1024"/>
      <c r="E51" s="319"/>
      <c r="F51" s="2232"/>
      <c r="G51" s="3334"/>
      <c r="H51" s="2135" t="s">
        <v>2136</v>
      </c>
      <c r="I51" s="2134"/>
      <c r="J51" s="2310" t="s">
        <v>1347</v>
      </c>
      <c r="K51" s="3326" t="s">
        <v>1348</v>
      </c>
      <c r="L51" s="3326"/>
      <c r="M51" s="2310" t="s">
        <v>1349</v>
      </c>
      <c r="N51" s="2310" t="s">
        <v>1350</v>
      </c>
      <c r="O51" s="2310" t="s">
        <v>1351</v>
      </c>
    </row>
    <row r="52" spans="1:35" ht="24" customHeight="1">
      <c r="A52" s="2152" t="s">
        <v>1352</v>
      </c>
      <c r="B52" s="3262" t="s">
        <v>1353</v>
      </c>
      <c r="C52" s="3262"/>
      <c r="D52" s="1024" t="e">
        <f ca="1">ROUND(D45*'数据-取费表'!B41/(1+'数据-取费表'!C42),0)</f>
        <v>#REF!</v>
      </c>
      <c r="E52" s="1255" t="s">
        <v>1354</v>
      </c>
      <c r="F52" s="2339">
        <f>'数据-取费表'!B41</f>
        <v>5.6000000000000001E-2</v>
      </c>
      <c r="G52" s="2340"/>
      <c r="H52" s="2330"/>
      <c r="I52" s="1668"/>
      <c r="J52" s="2309">
        <v>1</v>
      </c>
      <c r="K52" s="3327" t="s">
        <v>1355</v>
      </c>
      <c r="L52" s="3327"/>
      <c r="M52" s="2311" t="b">
        <f>D48</f>
        <v>0</v>
      </c>
      <c r="N52" s="2309" t="str">
        <f>E48</f>
        <v>销售额×税（费）率</v>
      </c>
      <c r="O52" s="2312">
        <f>F48</f>
        <v>5.6000000000000001E-2</v>
      </c>
    </row>
    <row r="53" spans="1:35" ht="12" customHeight="1">
      <c r="A53" s="2152" t="s">
        <v>1356</v>
      </c>
      <c r="B53" s="3288" t="s">
        <v>2291</v>
      </c>
      <c r="C53" s="3289"/>
      <c r="D53" s="1024" t="e">
        <f ca="1">ROUND(D45*'数据-取费表'!B41/(1+'数据-取费表'!C42),0)</f>
        <v>#REF!</v>
      </c>
      <c r="E53" s="1255" t="s">
        <v>1354</v>
      </c>
      <c r="F53" s="2339">
        <f>'数据-取费表'!B41</f>
        <v>5.6000000000000001E-2</v>
      </c>
      <c r="G53" s="2340"/>
      <c r="H53" s="2330"/>
      <c r="I53" s="1668"/>
      <c r="J53" s="2309">
        <v>2</v>
      </c>
      <c r="K53" s="3327" t="s">
        <v>1357</v>
      </c>
      <c r="L53" s="3327"/>
      <c r="M53" s="2311" t="e">
        <f t="shared" ref="M53:O54" ca="1" si="0">D55</f>
        <v>#REF!</v>
      </c>
      <c r="N53" s="2309" t="str">
        <f t="shared" si="0"/>
        <v>销售额×税（费）率</v>
      </c>
      <c r="O53" s="2312" t="str">
        <f t="shared" si="0"/>
        <v>免征</v>
      </c>
    </row>
    <row r="54" spans="1:35" ht="12" customHeight="1">
      <c r="A54" s="2152" t="s">
        <v>1358</v>
      </c>
      <c r="B54" s="3288" t="s">
        <v>2292</v>
      </c>
      <c r="C54" s="3289"/>
      <c r="D54" s="1024" t="e">
        <f ca="1">C68</f>
        <v>#REF!</v>
      </c>
      <c r="E54" s="319" t="s">
        <v>1359</v>
      </c>
      <c r="F54" s="2339">
        <f>'数据-取费表'!B41</f>
        <v>5.6000000000000001E-2</v>
      </c>
      <c r="G54" s="2340"/>
      <c r="H54" s="2341"/>
      <c r="I54" s="1668"/>
      <c r="J54" s="2309">
        <v>3</v>
      </c>
      <c r="K54" s="3327" t="s">
        <v>1360</v>
      </c>
      <c r="L54" s="3327"/>
      <c r="M54" s="2311" t="e">
        <f t="shared" ca="1" si="0"/>
        <v>#REF!</v>
      </c>
      <c r="N54" s="2309" t="str">
        <f t="shared" si="0"/>
        <v>增值额×税（费）率</v>
      </c>
      <c r="O54" s="2313" t="str">
        <f t="shared" si="0"/>
        <v>免征</v>
      </c>
    </row>
    <row r="55" spans="1:35" ht="24" customHeight="1">
      <c r="A55" s="3277" t="s">
        <v>1361</v>
      </c>
      <c r="B55" s="3278"/>
      <c r="C55" s="3278"/>
      <c r="D55" s="12" t="e">
        <f ca="1">IF(H55="个人住宅",0,ROUND(D45*I55,0))</f>
        <v>#REF!</v>
      </c>
      <c r="E55" s="1255" t="s">
        <v>1362</v>
      </c>
      <c r="F55" s="2339" t="str">
        <f>IF(H55="正常",I55,"免征")</f>
        <v>免征</v>
      </c>
      <c r="G55" s="2340"/>
      <c r="H55" s="2336"/>
      <c r="I55" s="157">
        <f>'数据-取费表'!B49</f>
        <v>5.0000000000000001E-4</v>
      </c>
      <c r="J55" s="2309">
        <f>IF(H59="非个人房产","",4)</f>
        <v>4</v>
      </c>
      <c r="K55" s="3327" t="str">
        <f>IF(H59="非个人房产","——","个人所得税")</f>
        <v>个人所得税</v>
      </c>
      <c r="L55" s="3327"/>
      <c r="M55" s="2314" t="e">
        <f ca="1">D59</f>
        <v>#REF!</v>
      </c>
      <c r="N55" s="1882" t="str">
        <f>E59</f>
        <v>差额计税</v>
      </c>
      <c r="O55" s="2315">
        <f>F59</f>
        <v>0.01</v>
      </c>
    </row>
    <row r="56" spans="1:35" ht="24.75">
      <c r="A56" s="3277" t="s">
        <v>1363</v>
      </c>
      <c r="B56" s="3278"/>
      <c r="C56" s="3278"/>
      <c r="D56" s="12" t="e">
        <f ca="1">IF(H56="个人住宅",D57,D58)</f>
        <v>#REF!</v>
      </c>
      <c r="E56" s="1255" t="s">
        <v>1364</v>
      </c>
      <c r="F56" s="2339" t="str">
        <f>IF(H56="正常",F58,"免征")</f>
        <v>免征</v>
      </c>
      <c r="G56" s="2342" t="s">
        <v>1365</v>
      </c>
      <c r="H56" s="2343"/>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1341</v>
      </c>
      <c r="B57" s="3288" t="s">
        <v>1366</v>
      </c>
      <c r="C57" s="3289"/>
      <c r="D57" s="1477">
        <v>0</v>
      </c>
      <c r="E57" s="316" t="s">
        <v>1343</v>
      </c>
      <c r="F57" s="294"/>
      <c r="G57" s="2340"/>
      <c r="H57" s="2344"/>
      <c r="I57" s="1669"/>
      <c r="J57" s="3327">
        <f>IF(AND(J55="",J56=""),4,IF(项目基本情况!K6="上海银行",结果表!J56+1,结果表!J55+1))</f>
        <v>5</v>
      </c>
      <c r="K57" s="3327" t="s">
        <v>1367</v>
      </c>
      <c r="L57" s="2316" t="s">
        <v>1368</v>
      </c>
      <c r="M57" s="2317"/>
      <c r="N57" s="2318">
        <f ca="1">SUMIF(M52:M56,"&lt;9e307")</f>
        <v>0</v>
      </c>
      <c r="O57" s="2319"/>
      <c r="P57" s="2464" t="e">
        <f ca="1">N57/M49</f>
        <v>#VALUE!</v>
      </c>
    </row>
    <row r="58" spans="1:35" ht="24.75">
      <c r="A58" s="2152" t="s">
        <v>1352</v>
      </c>
      <c r="B58" s="3288" t="s">
        <v>1369</v>
      </c>
      <c r="C58" s="3262"/>
      <c r="D58" s="12" t="e">
        <f ca="1">IF(H58="转让取得",C81,C97)</f>
        <v>#REF!</v>
      </c>
      <c r="E58" s="1255" t="s">
        <v>1364</v>
      </c>
      <c r="F58" s="294" t="s">
        <v>28</v>
      </c>
      <c r="G58" s="2340"/>
      <c r="H58" s="2343"/>
      <c r="I58" s="1669"/>
      <c r="J58" s="3327"/>
      <c r="K58" s="3327"/>
      <c r="L58" s="2316" t="s">
        <v>1370</v>
      </c>
      <c r="M58" s="2320"/>
      <c r="N58" s="2321" t="str">
        <f ca="1">NUMBERSTRING(INT(N57*10000),2)&amp;"元整"</f>
        <v>零元整</v>
      </c>
      <c r="O58" s="2322"/>
    </row>
    <row r="59" spans="1:35" ht="24.75" thickBot="1">
      <c r="A59" s="3330" t="s">
        <v>1371</v>
      </c>
      <c r="B59" s="3331"/>
      <c r="C59" s="333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8">
        <f>J57+1</f>
        <v>6</v>
      </c>
      <c r="K59" s="3327" t="s">
        <v>1372</v>
      </c>
      <c r="L59" s="2309" t="s">
        <v>1368</v>
      </c>
      <c r="M59" s="2323"/>
      <c r="N59" s="2324" t="e">
        <f ca="1">M49-N57</f>
        <v>#VALUE!</v>
      </c>
      <c r="O59" s="2325"/>
    </row>
    <row r="60" spans="1:35" ht="12" customHeight="1">
      <c r="A60" s="1670"/>
      <c r="B60" s="646"/>
      <c r="C60" s="646"/>
      <c r="D60" s="646"/>
      <c r="E60" s="1465"/>
      <c r="F60" s="1669"/>
      <c r="G60" s="1669"/>
      <c r="H60" s="151"/>
      <c r="I60" s="121"/>
      <c r="J60" s="3329"/>
      <c r="K60" s="3327"/>
      <c r="L60" s="2316" t="s">
        <v>1370</v>
      </c>
      <c r="M60" s="2320"/>
      <c r="N60" s="2321" t="e">
        <f ca="1">NUMBERSTRING(INT(N59*10000),2)&amp;"元整"</f>
        <v>#VALUE!</v>
      </c>
      <c r="O60" s="2322"/>
    </row>
    <row r="61" spans="1:35" ht="13.5" thickBot="1">
      <c r="A61" s="3275" t="s">
        <v>1373</v>
      </c>
      <c r="B61" s="3275"/>
      <c r="C61" s="3275"/>
      <c r="D61" s="3275"/>
      <c r="E61" s="3275"/>
      <c r="F61" s="1669"/>
      <c r="G61" s="1669"/>
      <c r="H61" s="151"/>
      <c r="I61" s="121"/>
      <c r="J61" s="2309">
        <f>J59+1</f>
        <v>7</v>
      </c>
      <c r="K61" s="3327" t="s">
        <v>1374</v>
      </c>
      <c r="L61" s="3327"/>
      <c r="M61" s="2326"/>
      <c r="N61" s="2327" t="e">
        <f ca="1">ROUND(N59*10000/'数据-汇总表'!E3,0)</f>
        <v>#VALUE!</v>
      </c>
      <c r="O61" s="2328"/>
    </row>
    <row r="62" spans="1:35" ht="12.75">
      <c r="A62" s="3293" t="s">
        <v>1375</v>
      </c>
      <c r="B62" s="3294"/>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2"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5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52"/>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52"/>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52"/>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352"/>
      <c r="K69" s="1244" t="s">
        <v>1393</v>
      </c>
      <c r="L69" s="1244"/>
      <c r="M69" s="294" t="e">
        <f>ROUND(SUM(M63:M68),0)</f>
        <v>#VALUE!</v>
      </c>
      <c r="N69" s="2331" t="e">
        <f>M69/M49</f>
        <v>#VALUE!</v>
      </c>
      <c r="Z69" s="1622"/>
      <c r="AI69" s="1560"/>
    </row>
    <row r="70" spans="1:35" s="642" customFormat="1" ht="15" thickBot="1">
      <c r="A70" s="3314" t="s">
        <v>1394</v>
      </c>
      <c r="B70" s="3315"/>
      <c r="C70" s="3315"/>
      <c r="D70" s="3315"/>
      <c r="E70" s="3315"/>
      <c r="F70" s="3315"/>
      <c r="G70" s="3315"/>
      <c r="H70" s="331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3" t="s">
        <v>1375</v>
      </c>
      <c r="B71" s="329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8" t="s">
        <v>1402</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72" t="s">
        <v>1406</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4" t="s">
        <v>1410</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3" t="s">
        <v>1375</v>
      </c>
      <c r="B84" s="329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4" t="s">
        <v>2129</v>
      </c>
      <c r="H90" s="3355"/>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2" t="s">
        <v>1419</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2" t="s">
        <v>1422</v>
      </c>
      <c r="F92" s="3273"/>
      <c r="G92" s="3273"/>
      <c r="H92" s="3282"/>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72" t="s">
        <v>1406</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3" t="s">
        <v>1426</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0" t="str">
        <f>C4</f>
        <v>收益法 (元)</v>
      </c>
      <c r="D101" s="2371" t="str">
        <f>D4</f>
        <v>比较法-住宅</v>
      </c>
      <c r="E101" s="3349" t="s">
        <v>1431</v>
      </c>
      <c r="F101" s="3306"/>
      <c r="G101" s="1686" t="s">
        <v>1432</v>
      </c>
      <c r="H101" s="2380" t="e">
        <f ca="1">H118</f>
        <v>#REF!</v>
      </c>
      <c r="I101" s="121"/>
    </row>
    <row r="102" spans="1:35" ht="18.75" customHeight="1">
      <c r="A102" s="3308" t="s">
        <v>1433</v>
      </c>
      <c r="B102" s="2369" t="s">
        <v>1432</v>
      </c>
      <c r="C102" s="2370">
        <f ca="1">IF(D32="楼面单价",ROUND(C19,0),C19)</f>
        <v>1022.6119</v>
      </c>
      <c r="D102" s="2371">
        <f ca="1">IF(D32="楼面单价",ROUND(D19,0),D19)</f>
        <v>1989.0935999999999</v>
      </c>
      <c r="E102" s="3349"/>
      <c r="F102" s="3306"/>
      <c r="G102" s="1686" t="s">
        <v>1434</v>
      </c>
      <c r="H102" s="2340" t="e">
        <f ca="1">I118</f>
        <v>#REF!</v>
      </c>
      <c r="I102" s="121"/>
    </row>
    <row r="103" spans="1:35" ht="42.75" customHeight="1">
      <c r="A103" s="3308"/>
      <c r="B103" s="2369" t="s">
        <v>1434</v>
      </c>
      <c r="C103" s="2372">
        <f ca="1">C20</f>
        <v>55318</v>
      </c>
      <c r="D103" s="2373">
        <f ca="1">D20</f>
        <v>107600</v>
      </c>
      <c r="E103" s="3343" t="s">
        <v>1435</v>
      </c>
      <c r="F103" s="3344"/>
      <c r="G103" s="1687" t="s">
        <v>1436</v>
      </c>
      <c r="H103" s="2380">
        <f>IF(D36="正常操作",H104+H105+H106,H105+H106)</f>
        <v>0</v>
      </c>
      <c r="I103" s="121"/>
    </row>
    <row r="104" spans="1:35" ht="18.75" customHeight="1">
      <c r="A104" s="3308"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09"/>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5" t="str">
        <f>IF(项目基本情况!E8="已注销","——","3.房地产抵押价值")</f>
        <v>3.房地产抵押价值</v>
      </c>
      <c r="F107" s="3306"/>
      <c r="G107" s="1686" t="s">
        <v>1432</v>
      </c>
      <c r="H107" s="2380" t="e">
        <f ca="1">IF(E107="——","——",H101-H103)</f>
        <v>#REF!</v>
      </c>
      <c r="I107" s="121"/>
    </row>
    <row r="108" spans="1:35" ht="18.75" customHeight="1">
      <c r="A108" s="121"/>
      <c r="B108" s="121"/>
      <c r="C108" s="121"/>
      <c r="D108" s="121"/>
      <c r="E108" s="3305"/>
      <c r="F108" s="3306"/>
      <c r="G108" s="1686" t="s">
        <v>1434</v>
      </c>
      <c r="H108" s="2340">
        <f ca="1">IF(H107=H101,H102,ROUND(H107*10000/'数据-汇总表'!E3,0))</f>
        <v>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6" t="s">
        <v>1432</v>
      </c>
      <c r="H109" s="2383" t="str">
        <f>IF(E109="——","——",H101-H105-H106)</f>
        <v>——</v>
      </c>
      <c r="I109" s="121"/>
    </row>
    <row r="110" spans="1:35" ht="18.75" customHeight="1">
      <c r="A110" s="121"/>
      <c r="B110" s="121"/>
      <c r="C110" s="121"/>
      <c r="D110" s="121"/>
      <c r="E110" s="3305"/>
      <c r="F110" s="3306"/>
      <c r="G110" s="1686" t="s">
        <v>1434</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6" t="s">
        <v>1432</v>
      </c>
      <c r="H111" s="2380" t="str">
        <f>IF(E111="——","——",N59)</f>
        <v>——</v>
      </c>
      <c r="I111" s="121"/>
    </row>
    <row r="112" spans="1:35" ht="18.75" customHeight="1" thickBot="1">
      <c r="A112" s="121"/>
      <c r="B112" s="121"/>
      <c r="C112" s="121"/>
      <c r="D112" s="121"/>
      <c r="E112" s="3338"/>
      <c r="F112" s="3339"/>
      <c r="G112" s="1689"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0"/>
      <c r="F114" s="1670"/>
      <c r="G114" s="1670"/>
      <c r="H114" s="1670"/>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184.86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6" t="s">
        <v>1452</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
      </c>
      <c r="B122" s="3307"/>
      <c r="C122" s="3307"/>
      <c r="D122" s="3340" t="e">
        <f ca="1">H107</f>
        <v>#REF!</v>
      </c>
      <c r="E122" s="3341"/>
      <c r="F122" s="3341"/>
      <c r="G122" s="3341"/>
      <c r="H122" s="3341"/>
      <c r="I122" s="3342"/>
      <c r="AA122" s="684"/>
    </row>
    <row r="123" spans="1:27" ht="18.75" customHeight="1">
      <c r="A123" s="3276" t="s">
        <v>1452</v>
      </c>
      <c r="B123" s="3276"/>
      <c r="C123" s="3276"/>
      <c r="D123" s="3316" t="e">
        <f ca="1">NUMBERSTRING(INT(D122*10000),2)&amp;"元整"</f>
        <v>#REF!</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8</v>
      </c>
    </row>
    <row r="2" spans="1:9" s="192" customFormat="1" ht="18" customHeight="1">
      <c r="A2" s="193" t="s">
        <v>1462</v>
      </c>
      <c r="B2" s="194">
        <f ca="1">IF(D2="——",C52,C52-E2)</f>
        <v>119</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6437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2.9999999999999997E-4</v>
      </c>
      <c r="D44" s="230"/>
      <c r="E44" s="230"/>
      <c r="F44" s="231"/>
      <c r="G44" s="3358"/>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114</v>
      </c>
      <c r="D51" s="224"/>
      <c r="E51" s="224"/>
      <c r="F51" s="256"/>
      <c r="G51" s="226" t="s">
        <v>1560</v>
      </c>
    </row>
    <row r="52" spans="1:7" s="200" customFormat="1" ht="16.5" thickBot="1">
      <c r="A52" s="257" t="s">
        <v>1561</v>
      </c>
      <c r="B52" s="258"/>
      <c r="C52" s="259">
        <f ca="1">C31+C51</f>
        <v>119</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北京市房地产市场价值预评估</v>
      </c>
      <c r="C37" s="3174"/>
      <c r="D37" s="3174"/>
      <c r="E37" s="3174"/>
      <c r="F37" s="3174"/>
      <c r="G37" s="3174"/>
      <c r="H37" s="3174"/>
      <c r="I37" s="317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8</v>
      </c>
      <c r="H1" s="998" t="str">
        <f>IF(ISERROR(FIND("住宅",B1)),"非住宅","住宅")</f>
        <v>非住宅</v>
      </c>
    </row>
    <row r="2" spans="1:8" s="192" customFormat="1" ht="18" customHeight="1">
      <c r="A2" s="193" t="s">
        <v>1462</v>
      </c>
      <c r="B2" s="3122">
        <f ca="1">ROUND(IF(D2="——",C52/10000,C52/10000-E2),4)</f>
        <v>598.35320000000002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32368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3505980.14</v>
      </c>
      <c r="D5" s="203" t="s">
        <v>1469</v>
      </c>
      <c r="E5" s="204" t="s">
        <v>1470</v>
      </c>
      <c r="F5" s="204" t="s">
        <v>1471</v>
      </c>
      <c r="G5" s="205"/>
    </row>
    <row r="6" spans="1:8" s="206" customFormat="1" ht="13.5" customHeight="1">
      <c r="A6" s="732" t="s">
        <v>1472</v>
      </c>
      <c r="B6" s="207" t="s">
        <v>1473</v>
      </c>
      <c r="C6" s="208">
        <f>基准地价修正!C33*基准地价修正!D33</f>
        <v>3373510.14</v>
      </c>
      <c r="D6" s="209"/>
      <c r="E6" s="210"/>
      <c r="F6" s="210"/>
      <c r="G6" s="211"/>
    </row>
    <row r="7" spans="1:8" s="206" customFormat="1" ht="13.5" customHeight="1">
      <c r="A7" s="732" t="s">
        <v>1474</v>
      </c>
      <c r="B7" s="207" t="s">
        <v>1475</v>
      </c>
      <c r="C7" s="212">
        <f>ROUND(C6*F7,0)</f>
        <v>102892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3"/>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3"/>
    </row>
    <row r="20" spans="1:7" s="206" customFormat="1" ht="13.5" customHeight="1">
      <c r="A20" s="247" t="s">
        <v>1574</v>
      </c>
      <c r="B20" s="202" t="s">
        <v>1575</v>
      </c>
      <c r="C20" s="224">
        <f ca="1">ROUND((C5+C19)*F20,0)</f>
        <v>70859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123454</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120956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1276</v>
      </c>
      <c r="D24" s="230"/>
      <c r="E24" s="230"/>
      <c r="F24" s="231"/>
      <c r="G24" s="232" t="s">
        <v>1586</v>
      </c>
    </row>
    <row r="25" spans="1:7" s="206" customFormat="1" ht="24">
      <c r="A25" s="734" t="s">
        <v>1476</v>
      </c>
      <c r="B25" s="207" t="s">
        <v>1587</v>
      </c>
      <c r="C25" s="230">
        <f ca="1">ROUND(IF('数据-取费表'!B22&lt;=1,C20*F22*'数据-取费表'!B22/2,C20*(POWER((1+F22),'数据-取费表'!B22/2)-1)),0)</f>
        <v>1222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722762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722762</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4835242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16678</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16351</v>
      </c>
      <c r="D42" s="230"/>
      <c r="E42" s="230"/>
      <c r="F42" s="231"/>
      <c r="G42" s="3356" t="s">
        <v>1591</v>
      </c>
    </row>
    <row r="43" spans="1:7" ht="13.5" customHeight="1">
      <c r="A43" s="734" t="s">
        <v>347</v>
      </c>
      <c r="B43" s="207" t="s">
        <v>1545</v>
      </c>
      <c r="C43" s="230">
        <f ca="1">ROUND(IF('数据-取费表'!B22&lt;=1,C39*F22*'数据-取费表'!B20/2,C39*(POWER((1+F22),'数据-取费表'!B20/2)-1)),0)</f>
        <v>327</v>
      </c>
      <c r="D43" s="230"/>
      <c r="E43" s="230"/>
      <c r="F43" s="231"/>
      <c r="G43" s="3357"/>
    </row>
    <row r="44" spans="1:7" ht="13.5" customHeight="1">
      <c r="A44" s="734" t="s">
        <v>348</v>
      </c>
      <c r="B44" s="207" t="s">
        <v>1546</v>
      </c>
      <c r="C44" s="230">
        <f ca="1">ROUND(IF('数据-取费表'!B22&lt;=1,C40*F22*'数据-取费表'!B20/2,C40*(POWER((1+F22),'数据-取费表'!B20/2)-1)),4)</f>
        <v>2.9999999999999997E-4</v>
      </c>
      <c r="D44" s="230"/>
      <c r="E44" s="230"/>
      <c r="F44" s="231"/>
      <c r="G44" s="3358"/>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1275878</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1148290</v>
      </c>
      <c r="D51" s="224"/>
      <c r="E51" s="224"/>
      <c r="F51" s="256"/>
      <c r="G51" s="226" t="s">
        <v>1560</v>
      </c>
    </row>
    <row r="52" spans="1:7" s="200" customFormat="1" ht="16.5" thickBot="1">
      <c r="A52" s="257" t="s">
        <v>1561</v>
      </c>
      <c r="B52" s="258"/>
      <c r="C52" s="259">
        <f ca="1">C31+C51</f>
        <v>5983532</v>
      </c>
      <c r="D52" s="258"/>
      <c r="E52" s="258"/>
      <c r="F52" s="258"/>
      <c r="G52" s="260"/>
    </row>
    <row r="55" spans="1:7" ht="15">
      <c r="B55" s="262" t="s">
        <v>1562</v>
      </c>
      <c r="C55" s="263"/>
    </row>
    <row r="56" spans="1:7">
      <c r="B56" s="265" t="s">
        <v>802</v>
      </c>
      <c r="C56" s="267">
        <f ca="1">1-C57</f>
        <v>0.80800000000000005</v>
      </c>
    </row>
    <row r="57" spans="1:7">
      <c r="B57" s="265" t="s">
        <v>803</v>
      </c>
      <c r="C57" s="266">
        <f ca="1">ROUND(C51/C52,3)</f>
        <v>0.192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-216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61" t="s">
        <v>694</v>
      </c>
      <c r="C6" s="1011">
        <f ca="1">ROUND(F6*F8*F7*(1-F9)/10000,0)</f>
        <v>0</v>
      </c>
      <c r="D6" s="147" t="s">
        <v>2109</v>
      </c>
      <c r="E6" s="294" t="s">
        <v>696</v>
      </c>
      <c r="F6" s="295">
        <f ca="1">INDIRECT("'数据-取费表'!u"&amp;$G$1)</f>
        <v>0</v>
      </c>
      <c r="G6" s="1291"/>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1"/>
      <c r="H7" s="296"/>
      <c r="I7" s="3362"/>
      <c r="J7" s="298"/>
      <c r="K7" s="299"/>
      <c r="L7" s="294" t="s">
        <v>697</v>
      </c>
      <c r="M7" s="295">
        <f ca="1">F7</f>
        <v>0</v>
      </c>
    </row>
    <row r="8" spans="1:37" ht="18" customHeight="1">
      <c r="A8" s="296"/>
      <c r="B8" s="3362"/>
      <c r="C8" s="298"/>
      <c r="D8" s="299"/>
      <c r="E8" s="294" t="s">
        <v>698</v>
      </c>
      <c r="F8" s="295">
        <f ca="1">INDIRECT("'数据-取费表'!ai"&amp;$G$1)</f>
        <v>0</v>
      </c>
      <c r="G8" s="1291"/>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1"/>
      <c r="H9" s="296"/>
      <c r="I9" s="3363"/>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359" t="s">
        <v>837</v>
      </c>
      <c r="L53" s="3360"/>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90" zoomScaleNormal="70" zoomScaleSheetLayoutView="9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3392</v>
      </c>
      <c r="D1" s="1270" t="s">
        <v>43</v>
      </c>
      <c r="E1" s="1271" t="s">
        <v>678</v>
      </c>
      <c r="F1" s="999">
        <f ca="1">J53</f>
        <v>54</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1022.6119</v>
      </c>
      <c r="C2" s="1288" t="s">
        <v>879</v>
      </c>
      <c r="D2" s="1374">
        <f ca="1">C40+J29+L46</f>
        <v>10226119</v>
      </c>
      <c r="E2" s="1294" t="s">
        <v>880</v>
      </c>
      <c r="F2" s="1295"/>
      <c r="G2" s="2478"/>
      <c r="H2" s="2468"/>
      <c r="I2" s="2468"/>
      <c r="J2" s="2468"/>
      <c r="K2" s="2469"/>
      <c r="L2" s="2468"/>
      <c r="M2" s="2468"/>
    </row>
    <row r="3" spans="1:37" ht="18" customHeight="1" thickBot="1">
      <c r="A3" s="1296" t="s">
        <v>881</v>
      </c>
      <c r="B3" s="1297">
        <f ca="1">IF(ISERROR(D2/F43),0,ROUND(D2/F43,0))</f>
        <v>55318</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317316</v>
      </c>
      <c r="D5" s="1272" t="s">
        <v>889</v>
      </c>
      <c r="E5" s="1008"/>
      <c r="F5" s="1009"/>
      <c r="G5" s="1291"/>
      <c r="H5" s="291">
        <v>1</v>
      </c>
      <c r="I5" s="292" t="s">
        <v>888</v>
      </c>
      <c r="J5" s="1007">
        <f ca="1">J6+J10+J12</f>
        <v>0</v>
      </c>
      <c r="K5" s="1272" t="s">
        <v>889</v>
      </c>
      <c r="L5" s="1008"/>
      <c r="M5" s="1009"/>
    </row>
    <row r="6" spans="1:37" ht="18" customHeight="1">
      <c r="A6" s="1006" t="s">
        <v>398</v>
      </c>
      <c r="B6" s="3361" t="s">
        <v>694</v>
      </c>
      <c r="C6" s="1011">
        <f ca="1">ROUND(F6*F8*F7*(1-F9),0)</f>
        <v>316920</v>
      </c>
      <c r="D6" s="147" t="s">
        <v>2106</v>
      </c>
      <c r="E6" s="294" t="s">
        <v>696</v>
      </c>
      <c r="F6" s="295">
        <f ca="1">INDIRECT("'数据-取费表'!u"&amp;$G$1)</f>
        <v>27800</v>
      </c>
      <c r="G6" s="1291"/>
      <c r="H6" s="1006" t="s">
        <v>398</v>
      </c>
      <c r="I6" s="3361" t="s">
        <v>694</v>
      </c>
      <c r="J6" s="293">
        <f ca="1">ROUND(M6*M8*M7*(1-M9),0)</f>
        <v>0</v>
      </c>
      <c r="K6" s="1283"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v>
      </c>
      <c r="G7" s="1291"/>
      <c r="H7" s="296"/>
      <c r="I7" s="3362"/>
      <c r="J7" s="298"/>
      <c r="K7" s="299"/>
      <c r="L7" s="294" t="s">
        <v>697</v>
      </c>
      <c r="M7" s="295">
        <f ca="1">F7</f>
        <v>1</v>
      </c>
    </row>
    <row r="8" spans="1:37" ht="18" customHeight="1">
      <c r="A8" s="296"/>
      <c r="B8" s="3362"/>
      <c r="C8" s="298"/>
      <c r="D8" s="299"/>
      <c r="E8" s="294" t="s">
        <v>698</v>
      </c>
      <c r="F8" s="295">
        <f ca="1">INDIRECT("'数据-取费表'!ai"&amp;$G$1)</f>
        <v>12</v>
      </c>
      <c r="G8" s="1291"/>
      <c r="H8" s="296"/>
      <c r="I8" s="3362"/>
      <c r="J8" s="298"/>
      <c r="K8" s="299"/>
      <c r="L8" s="294" t="s">
        <v>698</v>
      </c>
      <c r="M8" s="295">
        <f ca="1">INDIRECT("'数据-取费表'!ai"&amp;$G$1)</f>
        <v>12</v>
      </c>
    </row>
    <row r="9" spans="1:37" ht="18" customHeight="1">
      <c r="A9" s="296"/>
      <c r="B9" s="3363"/>
      <c r="C9" s="298"/>
      <c r="D9" s="299"/>
      <c r="E9" s="294" t="s">
        <v>699</v>
      </c>
      <c r="F9" s="304">
        <f ca="1">INDIRECT("'数据-取费表'!w"&amp;$G$1)</f>
        <v>0.05</v>
      </c>
      <c r="G9" s="1291"/>
      <c r="H9" s="296"/>
      <c r="I9" s="3363"/>
      <c r="J9" s="298"/>
      <c r="K9" s="299"/>
      <c r="L9" s="305" t="s">
        <v>699</v>
      </c>
      <c r="M9" s="306">
        <f ca="1">INDIRECT("'数据-取费表'!ab"&amp;$G$1)</f>
        <v>0</v>
      </c>
    </row>
    <row r="10" spans="1:37" ht="18" customHeight="1">
      <c r="A10" s="1006" t="s">
        <v>402</v>
      </c>
      <c r="B10" s="1273" t="s">
        <v>700</v>
      </c>
      <c r="C10" s="308">
        <f ca="1">ROUND(IF(F10="押一",C6/12*F11,IF(F10="押二",C6/12*2*F11,IF(F10="押三",C6/12*3*F11,C11*F11))),0)</f>
        <v>396</v>
      </c>
      <c r="D10" s="150" t="s">
        <v>2116</v>
      </c>
      <c r="E10" s="305" t="s">
        <v>701</v>
      </c>
      <c r="F10" s="1053" t="s">
        <v>3406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1148290</v>
      </c>
      <c r="D13" s="1018" t="s">
        <v>705</v>
      </c>
      <c r="E13" s="1018" t="s">
        <v>706</v>
      </c>
      <c r="F13" s="1019">
        <f ca="1">INDIRECT("'数据-取费表'!y"&amp;$G$1)</f>
        <v>0.9</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831870</v>
      </c>
      <c r="D14" s="1256" t="s">
        <v>708</v>
      </c>
      <c r="E14" s="1254"/>
      <c r="F14" s="311"/>
      <c r="G14" s="1291"/>
      <c r="H14" s="928" t="s">
        <v>398</v>
      </c>
      <c r="I14" s="294" t="s">
        <v>709</v>
      </c>
      <c r="J14" s="21">
        <f ca="1">C29</f>
        <v>1275878</v>
      </c>
      <c r="K14" s="12"/>
      <c r="L14" s="759"/>
      <c r="M14" s="760"/>
    </row>
    <row r="15" spans="1:37" s="1303" customFormat="1" ht="18" customHeight="1" thickBot="1">
      <c r="A15" s="928" t="s">
        <v>399</v>
      </c>
      <c r="B15" s="294" t="s">
        <v>710</v>
      </c>
      <c r="C15" s="21">
        <f ca="1">ROUND(C14*F15,0)</f>
        <v>24956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1"/>
      <c r="H16" s="1016" t="s">
        <v>393</v>
      </c>
      <c r="I16" s="1017" t="s">
        <v>714</v>
      </c>
      <c r="J16" s="302">
        <f ca="1">ROUND(J17+J22+J23+J24,0)</f>
        <v>19138</v>
      </c>
      <c r="K16" s="1024" t="s">
        <v>715</v>
      </c>
      <c r="L16" s="1025"/>
      <c r="M16" s="1009"/>
    </row>
    <row r="17" spans="1:37" s="1303" customFormat="1" ht="18" customHeight="1">
      <c r="A17" s="928" t="s">
        <v>681</v>
      </c>
      <c r="B17" s="294" t="s">
        <v>716</v>
      </c>
      <c r="C17" s="21">
        <f ca="1">ROUND(F17*(F43+INDIRECT("'数据-取费表'!S"&amp;$G$1)),0)</f>
        <v>36972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12478</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947870</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18957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19138</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16678</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-19138</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1275878</v>
      </c>
      <c r="D29" s="1029"/>
      <c r="E29" s="1027"/>
      <c r="F29" s="1030"/>
      <c r="G29" s="1302"/>
      <c r="H29" s="325" t="s">
        <v>396</v>
      </c>
      <c r="I29" s="326" t="s">
        <v>768</v>
      </c>
      <c r="J29" s="327">
        <f ca="1">ROUND(J26/(1+F40)^F41,0)</f>
        <v>0</v>
      </c>
      <c r="K29" s="328" t="s">
        <v>769</v>
      </c>
      <c r="L29" s="329"/>
      <c r="M29" s="330">
        <f ca="1">INDIRECT("'数据-取费表'!k"&amp;$G$1)</f>
        <v>184.86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45161</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21128</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19138</v>
      </c>
      <c r="D36" s="1255" t="s">
        <v>771</v>
      </c>
      <c r="E36" s="294" t="s">
        <v>712</v>
      </c>
      <c r="F36" s="320">
        <f ca="1">INDIRECT("'数据-取费表'!Ak"&amp;$G$1)</f>
        <v>1.4999999999999999E-2</v>
      </c>
      <c r="G36" s="1291"/>
      <c r="H36" s="2473"/>
      <c r="I36" s="1304"/>
      <c r="J36" s="1305"/>
      <c r="K36" s="2330"/>
      <c r="L36" s="2473"/>
      <c r="M36" s="2473"/>
    </row>
    <row r="37" spans="1:18" ht="18" customHeight="1">
      <c r="A37" s="928" t="s">
        <v>437</v>
      </c>
      <c r="B37" s="294" t="s">
        <v>742</v>
      </c>
      <c r="C37" s="21">
        <f ca="1">ROUND(C13*F37,0)</f>
        <v>1722</v>
      </c>
      <c r="D37" s="1255" t="s">
        <v>743</v>
      </c>
      <c r="E37" s="294" t="s">
        <v>744</v>
      </c>
      <c r="F37" s="321">
        <f ca="1">INDIRECT("'数据-取费表'!Al"&amp;$G$1)</f>
        <v>1.5E-3</v>
      </c>
      <c r="G37" s="1291"/>
      <c r="H37" s="2473"/>
      <c r="I37" s="1304"/>
      <c r="J37" s="1305"/>
      <c r="K37" s="2330"/>
      <c r="L37" s="2473"/>
      <c r="M37" s="2473"/>
    </row>
    <row r="38" spans="1:18" ht="18" customHeight="1" thickBot="1">
      <c r="A38" s="1026" t="s">
        <v>684</v>
      </c>
      <c r="B38" s="1027" t="s">
        <v>728</v>
      </c>
      <c r="C38" s="1028">
        <f ca="1">ROUND(C5*F38,0)</f>
        <v>3173</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272155</v>
      </c>
      <c r="D39" s="1032" t="s">
        <v>773</v>
      </c>
      <c r="E39" s="1033"/>
      <c r="F39" s="1034"/>
      <c r="G39" s="1291"/>
      <c r="H39" s="2473"/>
      <c r="I39" s="1304"/>
      <c r="J39" s="1305"/>
      <c r="K39" s="2471"/>
      <c r="L39" s="2473"/>
      <c r="M39" s="2473"/>
    </row>
    <row r="40" spans="1:18" ht="18" customHeight="1">
      <c r="A40" s="291" t="s">
        <v>395</v>
      </c>
      <c r="B40" s="292" t="s">
        <v>774</v>
      </c>
      <c r="C40" s="293">
        <f ca="1">ROUND(C39*(1-((1+F42)/(1+F40))^F41)/(F40-F42),0)</f>
        <v>9959198</v>
      </c>
      <c r="D40" s="316" t="s">
        <v>758</v>
      </c>
      <c r="E40" s="294" t="s">
        <v>759</v>
      </c>
      <c r="F40" s="304">
        <f ca="1">INDIRECT("'数据-取费表'!I"&amp;$G$1)</f>
        <v>2.5000000000000001E-2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54</v>
      </c>
      <c r="G41" s="1291"/>
      <c r="H41" s="121"/>
      <c r="I41" s="1304"/>
      <c r="J41" s="1305"/>
      <c r="K41" s="2330"/>
      <c r="L41" s="121"/>
      <c r="M41" s="121"/>
    </row>
    <row r="42" spans="1:18" ht="18" customHeight="1">
      <c r="A42" s="300"/>
      <c r="B42" s="301"/>
      <c r="C42" s="302"/>
      <c r="D42" s="319"/>
      <c r="E42" s="294" t="s">
        <v>766</v>
      </c>
      <c r="F42" s="304">
        <f ca="1">INDIRECT("'数据-取费表'!v"&amp;$G$1)</f>
        <v>0.01</v>
      </c>
      <c r="G42" s="1291"/>
      <c r="H42" s="121"/>
      <c r="I42" s="1304"/>
      <c r="J42" s="1305"/>
      <c r="K42" s="2330"/>
      <c r="L42" s="121"/>
      <c r="M42" s="121"/>
    </row>
    <row r="43" spans="1:18" ht="18" customHeight="1" thickBot="1">
      <c r="A43" s="325" t="s">
        <v>396</v>
      </c>
      <c r="B43" s="326" t="s">
        <v>776</v>
      </c>
      <c r="C43" s="327">
        <f ca="1">ROUND(C40/F43,0)</f>
        <v>53874</v>
      </c>
      <c r="D43" s="328" t="s">
        <v>777</v>
      </c>
      <c r="E43" s="329" t="s">
        <v>778</v>
      </c>
      <c r="F43" s="330">
        <f ca="1">INDIRECT("'数据-取费表'!k"&amp;$G$1)</f>
        <v>184.86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3355</v>
      </c>
      <c r="B45" s="1306"/>
      <c r="C45" s="1375">
        <f ca="1">ROUND((C68-C40)/10000,4)</f>
        <v>-1057.3667</v>
      </c>
      <c r="D45" s="3130" t="s">
        <v>3356</v>
      </c>
      <c r="E45" s="1306"/>
      <c r="F45" s="1306"/>
      <c r="O45" s="1309" t="s">
        <v>808</v>
      </c>
      <c r="P45" s="1365"/>
      <c r="Q45" s="1365"/>
      <c r="R45" s="1365"/>
    </row>
    <row r="46" spans="1:18" s="1291" customFormat="1" ht="13.5" thickBot="1">
      <c r="A46" s="1310" t="s">
        <v>809</v>
      </c>
      <c r="C46" s="1311">
        <f ca="1">ROUND(C45,0)</f>
        <v>-1057</v>
      </c>
      <c r="D46" s="1312" t="str">
        <f>C2</f>
        <v>万元</v>
      </c>
      <c r="I46" s="1313" t="s">
        <v>810</v>
      </c>
      <c r="J46" s="1314"/>
      <c r="K46" s="1315"/>
      <c r="L46" s="1316">
        <f ca="1">IF(M47="住宅",0,IF(L48&gt;J51,L60,J60))</f>
        <v>266921</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3448</v>
      </c>
      <c r="K47" s="1322" t="s">
        <v>816</v>
      </c>
      <c r="L47" s="1323">
        <f ca="1">INDIRECT("'数据-取费表'!d"&amp;$G$1)</f>
        <v>70</v>
      </c>
      <c r="M47" s="3172" t="s">
        <v>3450</v>
      </c>
      <c r="O47" s="1324" t="s">
        <v>403</v>
      </c>
      <c r="P47" s="1325" t="s">
        <v>817</v>
      </c>
      <c r="Q47" s="1326">
        <f ca="1">C40+J29</f>
        <v>9959198</v>
      </c>
      <c r="R47" s="1326" t="s">
        <v>818</v>
      </c>
    </row>
    <row r="48" spans="1:18" s="1291" customFormat="1" ht="28.5" thickBot="1">
      <c r="A48" s="1047" t="s">
        <v>438</v>
      </c>
      <c r="B48" s="292" t="s">
        <v>692</v>
      </c>
      <c r="C48" s="1267">
        <f ca="1">C49+C53+C55</f>
        <v>0</v>
      </c>
      <c r="D48" s="1049"/>
      <c r="E48" s="1050"/>
      <c r="F48" s="908"/>
      <c r="G48" s="681"/>
      <c r="H48" s="682"/>
      <c r="I48" s="1327" t="s">
        <v>819</v>
      </c>
      <c r="J48" s="1328" t="s">
        <v>3449</v>
      </c>
      <c r="K48" s="1329" t="s">
        <v>820</v>
      </c>
      <c r="L48" s="1330">
        <f ca="1">INDIRECT("'数据-取费表'!f"&amp;$G$1)</f>
        <v>61.47</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2017</v>
      </c>
      <c r="K49" s="1329" t="s">
        <v>824</v>
      </c>
      <c r="L49" s="1332"/>
      <c r="O49" s="1333" t="s">
        <v>405</v>
      </c>
      <c r="P49" s="1325" t="s">
        <v>825</v>
      </c>
      <c r="Q49" s="1326">
        <f ca="1">C29</f>
        <v>1275878</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54</v>
      </c>
      <c r="K51" s="1338" t="s">
        <v>830</v>
      </c>
      <c r="L51" s="1339">
        <f ca="1">ROUND(-PV(INDIRECT("'数据-取费表'!h"&amp;$G$1),J51,(C39-C13*C76),0),0)</f>
        <v>11285949</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f>基准地价修正!G24</f>
        <v>0.05</v>
      </c>
      <c r="O52" s="1333" t="s">
        <v>408</v>
      </c>
      <c r="P52" s="1325" t="s">
        <v>834</v>
      </c>
      <c r="Q52" s="1326">
        <f ca="1">J53</f>
        <v>54</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54</v>
      </c>
      <c r="K53" s="3359" t="s">
        <v>837</v>
      </c>
      <c r="L53" s="3360"/>
      <c r="O53" s="1324" t="s">
        <v>409</v>
      </c>
      <c r="P53" s="1325" t="s">
        <v>838</v>
      </c>
      <c r="Q53" s="1326">
        <f ca="1">Q47+Q48</f>
        <v>9959198</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t="s">
        <v>3451</v>
      </c>
      <c r="O55" s="1317" t="s">
        <v>811</v>
      </c>
      <c r="P55" s="1318" t="s">
        <v>812</v>
      </c>
      <c r="Q55" s="1319" t="s">
        <v>813</v>
      </c>
      <c r="R55" s="1319" t="s">
        <v>814</v>
      </c>
    </row>
    <row r="56" spans="1:18" s="1291" customFormat="1" ht="36" customHeight="1" thickTop="1" thickBot="1">
      <c r="A56" s="903">
        <v>2</v>
      </c>
      <c r="B56" s="904" t="s">
        <v>704</v>
      </c>
      <c r="C56" s="224">
        <f ca="1">C13</f>
        <v>1148290</v>
      </c>
      <c r="D56" s="1351"/>
      <c r="E56" s="1352"/>
      <c r="F56" s="1344"/>
      <c r="I56" s="1353" t="s">
        <v>842</v>
      </c>
      <c r="J56" s="3173" t="s">
        <v>3389</v>
      </c>
      <c r="K56" s="1327" t="s">
        <v>843</v>
      </c>
      <c r="L56" s="1330">
        <f ca="1">IF(L48&lt;J51,"——",L48-J51)</f>
        <v>7.4699999999999989</v>
      </c>
      <c r="O56" s="1324" t="s">
        <v>403</v>
      </c>
      <c r="P56" s="1325" t="s">
        <v>817</v>
      </c>
      <c r="Q56" s="1326">
        <f ca="1">C40+J29</f>
        <v>9959198</v>
      </c>
      <c r="R56" s="1326" t="s">
        <v>818</v>
      </c>
    </row>
    <row r="57" spans="1:18" s="1291" customFormat="1" ht="24.75" thickBot="1">
      <c r="A57" s="1355"/>
      <c r="B57" s="896" t="s">
        <v>767</v>
      </c>
      <c r="C57" s="230">
        <f ca="1">C29</f>
        <v>1275878</v>
      </c>
      <c r="D57" s="1356"/>
      <c r="E57" s="1357"/>
      <c r="F57" s="1358"/>
      <c r="I57" s="1359" t="s">
        <v>844</v>
      </c>
      <c r="J57" s="1360" t="str">
        <f ca="1">IF(OR(M47="住宅",J51&lt;L48,J56="是"),"——",J51-L48)</f>
        <v>——</v>
      </c>
      <c r="K57" s="1327" t="s">
        <v>892</v>
      </c>
      <c r="L57" s="1330">
        <f ca="1">IF(L48&lt;J51,"——",IF(L55="比较法",L49,IF(L55="基准地价",L50,L51)))</f>
        <v>11285949</v>
      </c>
      <c r="O57" s="1324" t="s">
        <v>404</v>
      </c>
      <c r="P57" s="1325" t="s">
        <v>893</v>
      </c>
      <c r="Q57" s="1326">
        <f ca="1">L60</f>
        <v>266921</v>
      </c>
      <c r="R57" s="1326" t="s">
        <v>894</v>
      </c>
    </row>
    <row r="58" spans="1:18" s="1291" customFormat="1" ht="24.75" thickBot="1">
      <c r="A58" s="307" t="s">
        <v>393</v>
      </c>
      <c r="B58" s="904" t="s">
        <v>714</v>
      </c>
      <c r="C58" s="308">
        <f ca="1">ROUND(C59+C64+C65+C66,0)</f>
        <v>20860</v>
      </c>
      <c r="D58" s="906" t="s">
        <v>715</v>
      </c>
      <c r="E58" s="907"/>
      <c r="F58" s="908"/>
      <c r="I58" s="1359" t="s">
        <v>848</v>
      </c>
      <c r="J58" s="1361" t="e">
        <f ca="1">IF(J55&lt;0.4,0.4,J55)</f>
        <v>#VALUE!</v>
      </c>
      <c r="K58" s="1338" t="s">
        <v>895</v>
      </c>
      <c r="L58" s="1330">
        <f ca="1">ROUND(POWER(1+L52,L47-L48)*(POWER(1+L52,L48)-1)/(POWER(1+L52,L47)-1),4)</f>
        <v>0.98250000000000004</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0.95979999999999999</v>
      </c>
      <c r="M59" s="1288">
        <f ca="1">ROUND(POWER(1+L52,L47-(J51+'数据-取费表'!B24))*(POWER(1+L52,(J51+'数据-取费表'!B24))-1)/(POWER(1+L52,L47)-1),4)</f>
        <v>0.95979999999999999</v>
      </c>
      <c r="N59" s="1288">
        <f ca="1">ROUND(POWER(1+L52,L47-(J51+'数据-取费表'!B20))*(POWER(1+L52,(J51+'数据-取费表'!B20))-1)/(POWER(1+L52,L47)-1),4)</f>
        <v>0.96330000000000005</v>
      </c>
      <c r="O59" s="1333" t="s">
        <v>406</v>
      </c>
      <c r="P59" s="1325" t="s">
        <v>852</v>
      </c>
      <c r="Q59" s="1336">
        <f>L52</f>
        <v>0.05</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266921</v>
      </c>
      <c r="O60" s="1333" t="s">
        <v>407</v>
      </c>
      <c r="P60" s="1325" t="s">
        <v>855</v>
      </c>
      <c r="Q60" s="1326">
        <f ca="1">L58</f>
        <v>0.98250000000000004</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f ca="1">L59</f>
        <v>0.95979999999999999</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10226119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19138</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1722</v>
      </c>
      <c r="D65" s="910" t="s">
        <v>743</v>
      </c>
      <c r="E65" s="896" t="s">
        <v>744</v>
      </c>
      <c r="F65" s="321">
        <f t="shared" ca="1" si="0"/>
        <v>1.5E-3</v>
      </c>
      <c r="I65" s="1366" t="s">
        <v>867</v>
      </c>
      <c r="J65" s="610">
        <v>40</v>
      </c>
      <c r="K65" s="610">
        <v>30</v>
      </c>
      <c r="L65" s="610">
        <v>50</v>
      </c>
      <c r="M65" s="1368">
        <v>0.02</v>
      </c>
      <c r="O65" s="1324" t="s">
        <v>403</v>
      </c>
      <c r="P65" s="1325" t="s">
        <v>868</v>
      </c>
      <c r="Q65" s="1326">
        <f ca="1">C40+J29</f>
        <v>9959198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266921</v>
      </c>
      <c r="R66" s="1326" t="s">
        <v>869</v>
      </c>
    </row>
    <row r="67" spans="1:18" s="1291" customFormat="1" ht="16.5" thickBot="1">
      <c r="A67" s="903" t="s">
        <v>394</v>
      </c>
      <c r="B67" s="913" t="s">
        <v>752</v>
      </c>
      <c r="C67" s="308">
        <f ca="1">C48-C58</f>
        <v>-20860</v>
      </c>
      <c r="D67" s="909" t="s">
        <v>753</v>
      </c>
      <c r="E67" s="914"/>
      <c r="F67" s="915"/>
      <c r="O67" s="1333" t="s">
        <v>405</v>
      </c>
      <c r="P67" s="1325" t="s">
        <v>850</v>
      </c>
      <c r="Q67" s="1369">
        <f ca="1">L51</f>
        <v>11285949</v>
      </c>
      <c r="R67" s="1326" t="s">
        <v>870</v>
      </c>
    </row>
    <row r="68" spans="1:18" s="1291" customFormat="1" ht="16.5" thickBot="1">
      <c r="A68" s="893" t="s">
        <v>395</v>
      </c>
      <c r="B68" s="894" t="s">
        <v>774</v>
      </c>
      <c r="C68" s="293">
        <f ca="1">ROUND(C67*(1-((1+F70)/(1+F68))^F69)/(F68-F70),0)</f>
        <v>-614469</v>
      </c>
      <c r="D68" s="911" t="s">
        <v>758</v>
      </c>
      <c r="E68" s="896" t="s">
        <v>759</v>
      </c>
      <c r="F68" s="304">
        <f ca="1">F40</f>
        <v>2.5000000000000001E-2</v>
      </c>
      <c r="O68" s="1333" t="s">
        <v>406</v>
      </c>
      <c r="P68" s="1370" t="s">
        <v>871</v>
      </c>
      <c r="Q68" s="1326">
        <f ca="1">ROUND(Q69-Q70*Q71,0)</f>
        <v>208999</v>
      </c>
      <c r="R68" s="1326" t="s">
        <v>414</v>
      </c>
    </row>
    <row r="69" spans="1:18" s="1291" customFormat="1" ht="13.5" thickBot="1">
      <c r="A69" s="897"/>
      <c r="B69" s="898"/>
      <c r="C69" s="298"/>
      <c r="D69" s="916" t="s">
        <v>762</v>
      </c>
      <c r="E69" s="896" t="s">
        <v>763</v>
      </c>
      <c r="F69" s="324">
        <f ca="1">F41</f>
        <v>54</v>
      </c>
      <c r="O69" s="1333" t="s">
        <v>411</v>
      </c>
      <c r="P69" s="1370" t="s">
        <v>872</v>
      </c>
      <c r="Q69" s="1326">
        <f ca="1">C39</f>
        <v>272155</v>
      </c>
      <c r="R69" s="1326" t="s">
        <v>818</v>
      </c>
    </row>
    <row r="70" spans="1:18" s="1291" customFormat="1" ht="13.5" thickBot="1">
      <c r="A70" s="900"/>
      <c r="B70" s="901"/>
      <c r="C70" s="302"/>
      <c r="D70" s="912"/>
      <c r="E70" s="896" t="s">
        <v>766</v>
      </c>
      <c r="F70" s="991"/>
      <c r="O70" s="1333" t="s">
        <v>412</v>
      </c>
      <c r="P70" s="1370" t="s">
        <v>873</v>
      </c>
      <c r="Q70" s="1326">
        <f ca="1">C13</f>
        <v>1148290</v>
      </c>
      <c r="R70" s="1326" t="s">
        <v>818</v>
      </c>
    </row>
    <row r="71" spans="1:18" s="1291" customFormat="1" ht="13.5" thickBot="1">
      <c r="A71" s="917" t="s">
        <v>396</v>
      </c>
      <c r="B71" s="918" t="s">
        <v>776</v>
      </c>
      <c r="C71" s="327">
        <f ca="1">ROUND(C68/F71,0)</f>
        <v>-3324</v>
      </c>
      <c r="D71" s="919" t="s">
        <v>777</v>
      </c>
      <c r="E71" s="920" t="s">
        <v>778</v>
      </c>
      <c r="F71" s="330">
        <f ca="1">F43</f>
        <v>184.86</v>
      </c>
      <c r="O71" s="1333" t="s">
        <v>413</v>
      </c>
      <c r="P71" s="1370" t="s">
        <v>874</v>
      </c>
      <c r="Q71" s="1336">
        <f ca="1">C76</f>
        <v>5.5E-2</v>
      </c>
      <c r="R71" s="1326"/>
    </row>
    <row r="72" spans="1:18" s="1291" customFormat="1" ht="13.5" thickBot="1">
      <c r="B72" s="685"/>
      <c r="C72" s="685"/>
      <c r="O72" s="1333" t="s">
        <v>407</v>
      </c>
      <c r="P72" s="1325" t="s">
        <v>852</v>
      </c>
      <c r="Q72" s="1336">
        <f>L52</f>
        <v>0.05</v>
      </c>
      <c r="R72" s="1326"/>
    </row>
    <row r="73" spans="1:18" ht="16.5" thickBot="1">
      <c r="A73" s="1291"/>
      <c r="B73" s="685"/>
      <c r="C73" s="685"/>
      <c r="D73" s="1291"/>
      <c r="E73" s="1291"/>
      <c r="F73" s="1291"/>
      <c r="O73" s="1333" t="s">
        <v>408</v>
      </c>
      <c r="P73" s="1325" t="s">
        <v>855</v>
      </c>
      <c r="Q73" s="1326">
        <f ca="1">L58</f>
        <v>0.98250000000000004</v>
      </c>
      <c r="R73" s="1326" t="s">
        <v>856</v>
      </c>
    </row>
    <row r="74" spans="1:18" ht="13.5" thickBot="1">
      <c r="A74" s="1291"/>
      <c r="B74" s="265" t="s">
        <v>875</v>
      </c>
      <c r="C74" s="1372"/>
      <c r="D74" s="1291"/>
      <c r="E74" s="1291"/>
      <c r="F74" s="1291"/>
      <c r="O74" s="1333" t="s">
        <v>415</v>
      </c>
      <c r="P74" s="1325" t="str">
        <f>K59</f>
        <v>建筑物剩余耐用年限下的土地年期修正系数Kn</v>
      </c>
      <c r="Q74" s="1326">
        <f ca="1">L59</f>
        <v>0.95979999999999999</v>
      </c>
      <c r="R74" s="1326" t="s">
        <v>857</v>
      </c>
    </row>
    <row r="75" spans="1:18" ht="13.5" thickBot="1">
      <c r="A75" s="1291"/>
      <c r="B75" s="331" t="s">
        <v>795</v>
      </c>
      <c r="C75" s="332">
        <f ca="1">ROUND(C13*C76,0)</f>
        <v>63156</v>
      </c>
      <c r="D75" s="1291"/>
      <c r="E75" s="1291"/>
      <c r="F75" s="1291"/>
      <c r="K75" s="1308"/>
      <c r="L75" s="1291"/>
      <c r="O75" s="1324" t="s">
        <v>409</v>
      </c>
      <c r="P75" s="1325" t="s">
        <v>838</v>
      </c>
      <c r="Q75" s="1326">
        <f ca="1">Q65+Q66</f>
        <v>10226119</v>
      </c>
      <c r="R75" s="1326" t="s">
        <v>410</v>
      </c>
    </row>
    <row r="76" spans="1:18">
      <c r="B76" s="333" t="s">
        <v>796</v>
      </c>
      <c r="C76" s="334">
        <f ca="1">INDIRECT("'数据-取费表'!j"&amp;$G$1)</f>
        <v>5.5E-2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0.76800000000000002</v>
      </c>
    </row>
    <row r="80" spans="1:18">
      <c r="B80" s="331" t="s">
        <v>800</v>
      </c>
      <c r="C80" s="266">
        <f ca="1">ROUND(C75/C39,3)</f>
        <v>0.23200000000000001</v>
      </c>
    </row>
    <row r="81" spans="2:3">
      <c r="B81" s="262" t="s">
        <v>801</v>
      </c>
      <c r="C81" s="230"/>
    </row>
    <row r="82" spans="2:3">
      <c r="B82" s="265" t="s">
        <v>802</v>
      </c>
      <c r="C82" s="267">
        <f ca="1">1-C83</f>
        <v>0.88500000000000001</v>
      </c>
    </row>
    <row r="83" spans="2:3">
      <c r="B83" s="265" t="s">
        <v>803</v>
      </c>
      <c r="C83" s="266">
        <f ca="1">ROUND(C13/C40,3)</f>
        <v>0.115</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8" t="s">
        <v>3362</v>
      </c>
      <c r="E2" s="3139"/>
      <c r="F2" s="2597"/>
      <c r="G2" s="2598"/>
      <c r="H2" s="2599"/>
      <c r="I2" s="2600"/>
      <c r="J2" s="3370" t="s">
        <v>2320</v>
      </c>
      <c r="K2" s="3371"/>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72" t="s">
        <v>2330</v>
      </c>
      <c r="K3" s="3373"/>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72" t="s">
        <v>2332</v>
      </c>
      <c r="K4" s="3373"/>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78" t="s">
        <v>2336</v>
      </c>
      <c r="B6" s="3379"/>
      <c r="C6" s="3380"/>
      <c r="D6" s="2621"/>
      <c r="E6" s="2622"/>
      <c r="F6" s="2623"/>
      <c r="G6" s="2624"/>
      <c r="H6" s="2599"/>
      <c r="I6" s="2600"/>
      <c r="J6" s="3364">
        <v>1</v>
      </c>
      <c r="K6" s="336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64"/>
      <c r="K7" s="3366"/>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81" t="s">
        <v>2350</v>
      </c>
      <c r="C8" s="3382"/>
      <c r="D8" s="2640" t="s">
        <v>2351</v>
      </c>
      <c r="E8" s="2641" t="s">
        <v>2352</v>
      </c>
      <c r="F8" s="2642" t="s">
        <v>2353</v>
      </c>
      <c r="G8" s="2643"/>
      <c r="H8" s="2599"/>
      <c r="I8" s="2600"/>
      <c r="J8" s="3364"/>
      <c r="K8" s="3366"/>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81" t="s">
        <v>2356</v>
      </c>
      <c r="C9" s="3382"/>
      <c r="D9" s="2640">
        <f>ROUND(D6*E9,0)</f>
        <v>0</v>
      </c>
      <c r="E9" s="2644"/>
      <c r="F9" s="2645" t="s">
        <v>2357</v>
      </c>
      <c r="G9" s="2624"/>
      <c r="H9" s="2599"/>
      <c r="I9" s="2600"/>
      <c r="J9" s="3364"/>
      <c r="K9" s="3366"/>
      <c r="L9" s="2634" t="s">
        <v>2358</v>
      </c>
      <c r="M9" s="2635"/>
      <c r="N9" s="2611"/>
      <c r="O9" s="2636"/>
      <c r="P9" s="2636"/>
      <c r="Q9" s="2637">
        <v>365</v>
      </c>
      <c r="R9" s="2638">
        <f t="shared" si="0"/>
        <v>0</v>
      </c>
      <c r="S9" s="2592"/>
      <c r="T9" s="2592"/>
      <c r="U9" s="2592"/>
      <c r="V9" s="2600"/>
    </row>
    <row r="10" spans="1:22" s="2604" customFormat="1" ht="13.15" customHeight="1">
      <c r="A10" s="2639">
        <v>2</v>
      </c>
      <c r="B10" s="3381" t="s">
        <v>2359</v>
      </c>
      <c r="C10" s="3382"/>
      <c r="D10" s="2640">
        <f>ROUND(D6*E10,0)</f>
        <v>0</v>
      </c>
      <c r="E10" s="2644"/>
      <c r="F10" s="2645" t="s">
        <v>2360</v>
      </c>
      <c r="G10" s="2624"/>
      <c r="H10" s="2599"/>
      <c r="I10" s="2600"/>
      <c r="J10" s="3364"/>
      <c r="K10" s="3366"/>
      <c r="L10" s="2634" t="s">
        <v>2361</v>
      </c>
      <c r="M10" s="2635"/>
      <c r="N10" s="2611"/>
      <c r="O10" s="2636"/>
      <c r="P10" s="2636"/>
      <c r="Q10" s="2637">
        <v>365</v>
      </c>
      <c r="R10" s="2638">
        <f t="shared" si="0"/>
        <v>0</v>
      </c>
      <c r="S10" s="2592"/>
      <c r="T10" s="2592"/>
      <c r="U10" s="2592"/>
      <c r="V10" s="2600"/>
    </row>
    <row r="11" spans="1:22" s="2604" customFormat="1" ht="13.15" customHeight="1">
      <c r="A11" s="2639">
        <v>3</v>
      </c>
      <c r="B11" s="3381" t="s">
        <v>2362</v>
      </c>
      <c r="C11" s="3382"/>
      <c r="D11" s="2640">
        <f>D12+D14+D15+D16</f>
        <v>0</v>
      </c>
      <c r="E11" s="2646" t="e">
        <f>D11/D6</f>
        <v>#DIV/0!</v>
      </c>
      <c r="F11" s="2642"/>
      <c r="G11" s="2643"/>
      <c r="H11" s="2599"/>
      <c r="I11" s="2600"/>
      <c r="J11" s="3364"/>
      <c r="K11" s="3366"/>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74" t="s">
        <v>2365</v>
      </c>
      <c r="C12" s="3375"/>
      <c r="D12" s="2648">
        <f>ROUND(D13*1.2%*(1-30%),0)</f>
        <v>0</v>
      </c>
      <c r="E12" s="2649">
        <v>1.2E-2</v>
      </c>
      <c r="F12" s="2642" t="s">
        <v>2366</v>
      </c>
      <c r="G12" s="2643"/>
      <c r="H12" s="2599"/>
      <c r="I12" s="2600"/>
      <c r="J12" s="3364"/>
      <c r="K12" s="3366"/>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64"/>
      <c r="K13" s="3366"/>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74" t="s">
        <v>2371</v>
      </c>
      <c r="C14" s="3375"/>
      <c r="D14" s="2648">
        <f>ROUND(E14*B5/10000,0)</f>
        <v>0</v>
      </c>
      <c r="E14" s="2637"/>
      <c r="F14" s="2642" t="s">
        <v>2372</v>
      </c>
      <c r="G14" s="2643"/>
      <c r="H14" s="2599"/>
      <c r="I14" s="2600"/>
      <c r="J14" s="3364"/>
      <c r="K14" s="336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74" t="s">
        <v>2375</v>
      </c>
      <c r="C15" s="3375"/>
      <c r="D15" s="2648">
        <f>ROUND(D6*E15,0)</f>
        <v>0</v>
      </c>
      <c r="E15" s="2649">
        <v>5.5E-2</v>
      </c>
      <c r="F15" s="2642" t="s">
        <v>2376</v>
      </c>
      <c r="G15" s="2624"/>
      <c r="H15" s="2599"/>
      <c r="I15" s="2600"/>
      <c r="J15" s="3364">
        <v>2</v>
      </c>
      <c r="K15" s="336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74" t="s">
        <v>2384</v>
      </c>
      <c r="C16" s="3375"/>
      <c r="D16" s="2659">
        <f>D6*E16</f>
        <v>0</v>
      </c>
      <c r="E16" s="2660"/>
      <c r="F16" s="2645" t="s">
        <v>2385</v>
      </c>
      <c r="G16" s="2624"/>
      <c r="H16" s="2599"/>
      <c r="I16" s="2600"/>
      <c r="J16" s="3364"/>
      <c r="K16" s="3366"/>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76" t="s">
        <v>2387</v>
      </c>
      <c r="C17" s="3377"/>
      <c r="D17" s="2662">
        <f>ROUND(D6*E17,0)</f>
        <v>0</v>
      </c>
      <c r="E17" s="2663"/>
      <c r="F17" s="2664" t="s">
        <v>2388</v>
      </c>
      <c r="G17" s="2624"/>
      <c r="H17" s="2599"/>
      <c r="I17" s="2600"/>
      <c r="J17" s="3364"/>
      <c r="K17" s="3366"/>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64"/>
      <c r="K18" s="3366"/>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64"/>
      <c r="K19" s="336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4">
        <v>3</v>
      </c>
      <c r="K20" s="336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64"/>
      <c r="K21" s="3366"/>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64"/>
      <c r="K22" s="3366"/>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64"/>
      <c r="K23" s="3366"/>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64"/>
      <c r="K24" s="336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8">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70" t="s">
        <v>2320</v>
      </c>
      <c r="K32" s="3371"/>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72" t="s">
        <v>2330</v>
      </c>
      <c r="K33" s="3373"/>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72" t="s">
        <v>2332</v>
      </c>
      <c r="K34" s="337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64">
        <v>1</v>
      </c>
      <c r="K36" s="3365"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64"/>
      <c r="K37" s="3366"/>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4"/>
      <c r="K38" s="3366"/>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64"/>
      <c r="K39" s="3366"/>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64"/>
      <c r="K40" s="3367"/>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8">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1022.6119</v>
      </c>
      <c r="C2" s="1728" t="s">
        <v>1651</v>
      </c>
      <c r="D2" s="1729" t="s">
        <v>1652</v>
      </c>
      <c r="E2" s="2392">
        <f>SUM(E6:E13)</f>
        <v>184.86</v>
      </c>
      <c r="F2" s="2479"/>
      <c r="G2" s="459"/>
      <c r="H2" s="459"/>
      <c r="I2" s="459"/>
      <c r="J2" s="459"/>
      <c r="K2" s="459"/>
      <c r="L2" s="459"/>
      <c r="M2" s="459"/>
      <c r="N2" s="459"/>
      <c r="O2" s="459"/>
      <c r="P2" s="459"/>
      <c r="Q2" s="459"/>
      <c r="R2" s="459"/>
      <c r="S2" s="459"/>
    </row>
    <row r="3" spans="1:22" ht="15.75">
      <c r="A3" s="1727" t="s">
        <v>686</v>
      </c>
      <c r="B3" s="2386">
        <f ca="1">ROUND(B2*10000/E2,0)</f>
        <v>55318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3" t="s">
        <v>1654</v>
      </c>
      <c r="C5" s="3384"/>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1022.6119</v>
      </c>
      <c r="C6" s="1728" t="s">
        <v>1651</v>
      </c>
      <c r="D6" s="2479"/>
      <c r="E6" s="2391">
        <f>IF(OR(A6=0,F6="否"),0,'数据-取费表'!K6+'数据-取费表'!S6)</f>
        <v>184.86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4" zoomScale="90" zoomScaleNormal="60" zoomScaleSheetLayoutView="90" workbookViewId="0">
      <selection activeCell="F105" sqref="F10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t="s">
        <v>3402</v>
      </c>
      <c r="F1" s="1734" t="s">
        <v>3403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f>IF(E1="项目模式",IF(C2="——",ROUND(C49*D3/10000,0),ROUND(C49*D3/10000,0)-D2),IF(E1="单套模式",IF(C2="——",ROUND(C49*D3/10000,4),ROUND(C49*D3/10000,4)-D2)))</f>
        <v>1989.0935999999999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107600</v>
      </c>
      <c r="C3" s="344" t="s">
        <v>1665</v>
      </c>
      <c r="D3" s="343">
        <f>IF(D1="",'数据-汇总表'!E3,SUMIF('数据-汇总表'!$C19:$C33,D1,'数据-汇总表'!$E19:$E33))</f>
        <v>184.86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3" t="s">
        <v>1667</v>
      </c>
      <c r="D4" s="3404"/>
      <c r="E4" s="3405" t="s">
        <v>1668</v>
      </c>
      <c r="F4" s="3406"/>
      <c r="G4" s="3403" t="s">
        <v>1669</v>
      </c>
      <c r="H4" s="3404"/>
      <c r="I4" s="3403" t="s">
        <v>1670</v>
      </c>
      <c r="J4" s="3404"/>
      <c r="K4" s="1743" t="s">
        <v>1671</v>
      </c>
      <c r="L4" s="2486"/>
      <c r="M4" s="2487"/>
      <c r="N4" s="2487"/>
      <c r="O4" s="2487"/>
      <c r="P4" s="3407" t="s">
        <v>1672</v>
      </c>
      <c r="Q4" s="3408"/>
      <c r="R4" s="3413" t="s">
        <v>1668</v>
      </c>
      <c r="S4" s="3414"/>
      <c r="T4" s="3413" t="s">
        <v>1669</v>
      </c>
      <c r="U4" s="3414"/>
      <c r="V4" s="3389" t="s">
        <v>1670</v>
      </c>
      <c r="W4" s="3389"/>
      <c r="X4" s="1264"/>
      <c r="Y4" s="3413" t="s">
        <v>1672</v>
      </c>
      <c r="Z4" s="3414"/>
      <c r="AA4" s="3400" t="s">
        <v>1668</v>
      </c>
      <c r="AB4" s="3400" t="s">
        <v>1669</v>
      </c>
      <c r="AC4" s="3400" t="s">
        <v>1670</v>
      </c>
    </row>
    <row r="5" spans="1:29" ht="15">
      <c r="A5" s="348"/>
      <c r="B5" s="349"/>
      <c r="C5" s="3421" t="s">
        <v>1673</v>
      </c>
      <c r="D5" s="3422"/>
      <c r="E5" s="3428" t="s">
        <v>1674</v>
      </c>
      <c r="F5" s="3429"/>
      <c r="G5" s="3421" t="s">
        <v>1675</v>
      </c>
      <c r="H5" s="3422"/>
      <c r="I5" s="3421" t="s">
        <v>1676</v>
      </c>
      <c r="J5" s="3422"/>
      <c r="K5" s="1744"/>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1744"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f>案例!D10</f>
        <v>44812</v>
      </c>
      <c r="F7" s="357">
        <f>SUMIF(58:58,YEAR(E7)&amp;"-"&amp;MONTH(E7),59:59)</f>
        <v>99.5</v>
      </c>
      <c r="G7" s="356">
        <f>案例!D11</f>
        <v>44760</v>
      </c>
      <c r="H7" s="355">
        <f>SUMIF(58:58,YEAR(G7)&amp;"-"&amp;MONTH(G7),59:59)</f>
        <v>98.9</v>
      </c>
      <c r="I7" s="356">
        <f>案例!D12</f>
        <v>44745</v>
      </c>
      <c r="J7" s="355">
        <f>SUMIF(58:58,YEAR(I7)&amp;"-"&amp;MONTH(I7),59:59)</f>
        <v>98.9</v>
      </c>
      <c r="K7" s="1745"/>
      <c r="L7" s="2488"/>
      <c r="M7" s="2439"/>
      <c r="N7" s="2439"/>
      <c r="O7" s="2439"/>
      <c r="P7" s="3423" t="s">
        <v>1680</v>
      </c>
      <c r="Q7" s="3425"/>
      <c r="R7" s="664" t="s">
        <v>20</v>
      </c>
      <c r="S7" s="665">
        <f t="shared" ref="S7:S15" si="0">F7</f>
        <v>99.5</v>
      </c>
      <c r="T7" s="664" t="s">
        <v>20</v>
      </c>
      <c r="U7" s="665">
        <f t="shared" ref="U7:U15" si="1">H7</f>
        <v>98.9</v>
      </c>
      <c r="V7" s="664" t="s">
        <v>20</v>
      </c>
      <c r="W7" s="665">
        <f t="shared" ref="W7:W15" si="2">J7</f>
        <v>98.9</v>
      </c>
      <c r="X7" s="666"/>
      <c r="Y7" s="3423" t="s">
        <v>1680</v>
      </c>
      <c r="Z7" s="3424"/>
      <c r="AA7" s="50">
        <f>D7/F7</f>
        <v>1.0050251256281406</v>
      </c>
      <c r="AB7" s="50">
        <f>D7/H7</f>
        <v>1.0111223458038423</v>
      </c>
      <c r="AC7" s="50">
        <f>D7/J7</f>
        <v>1.0111223458038423</v>
      </c>
    </row>
    <row r="8" spans="1:29" s="102" customFormat="1" ht="15.75" thickBot="1">
      <c r="A8" s="352" t="s">
        <v>1681</v>
      </c>
      <c r="B8" s="353"/>
      <c r="C8" s="358" t="s">
        <v>3407</v>
      </c>
      <c r="D8" s="355">
        <v>100</v>
      </c>
      <c r="E8" s="1746" t="s">
        <v>3407</v>
      </c>
      <c r="F8" s="357">
        <f>SUMIF(61:61,E8,62:62)-SUMIF(61:61,C8,62:62)+100</f>
        <v>100</v>
      </c>
      <c r="G8" s="358" t="s">
        <v>3407</v>
      </c>
      <c r="H8" s="355">
        <f>SUMIF(61:61,G8,62:62)-SUMIF(61:61,C8,62:62)+100</f>
        <v>100</v>
      </c>
      <c r="I8" s="1746" t="s">
        <v>3407</v>
      </c>
      <c r="J8" s="355">
        <f>SUMIF(61:61,I8,62:62)-SUMIF(61:61,C8,62:62)+100</f>
        <v>100</v>
      </c>
      <c r="K8" s="1745"/>
      <c r="L8" s="2488"/>
      <c r="M8" s="2439"/>
      <c r="N8" s="2439"/>
      <c r="O8" s="2439"/>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99"/>
      <c r="Q11" s="530" t="str">
        <f t="shared" si="6"/>
        <v>容积率</v>
      </c>
      <c r="R11" s="664" t="s">
        <v>18</v>
      </c>
      <c r="S11" s="665">
        <f t="shared" si="0"/>
        <v>100</v>
      </c>
      <c r="T11" s="664" t="s">
        <v>18</v>
      </c>
      <c r="U11" s="665">
        <f t="shared" si="1"/>
        <v>100</v>
      </c>
      <c r="V11" s="664" t="s">
        <v>18</v>
      </c>
      <c r="W11" s="665">
        <f t="shared" si="2"/>
        <v>100</v>
      </c>
      <c r="X11" s="666"/>
      <c r="Y11" s="3263"/>
      <c r="Z11" s="50" t="str">
        <f t="shared" si="7"/>
        <v>容积率</v>
      </c>
      <c r="AA11" s="50">
        <f t="shared" si="3"/>
        <v>1</v>
      </c>
      <c r="AB11" s="50">
        <f t="shared" si="4"/>
        <v>1</v>
      </c>
      <c r="AC11" s="50">
        <f t="shared" si="5"/>
        <v>1</v>
      </c>
    </row>
    <row r="12" spans="1:29" s="102" customFormat="1" ht="15">
      <c r="A12" s="370"/>
      <c r="B12" s="3145" t="s">
        <v>3409</v>
      </c>
      <c r="C12" s="3146" t="s">
        <v>3446</v>
      </c>
      <c r="D12" s="372">
        <v>100</v>
      </c>
      <c r="E12" s="3146" t="s">
        <v>3410</v>
      </c>
      <c r="F12" s="364">
        <f>SUMIF(70:70,E12,71:71)-SUMIF(70:70,C12,71:71)+100</f>
        <v>100.1</v>
      </c>
      <c r="G12" s="3146" t="s">
        <v>3410</v>
      </c>
      <c r="H12" s="119">
        <f>SUMIF(70:70,G12,71:71)-SUMIF(70:70,C12,71:71)+100</f>
        <v>100.1</v>
      </c>
      <c r="I12" s="3146" t="s">
        <v>3410</v>
      </c>
      <c r="J12" s="119">
        <f>SUMIF(70:70,I12,71:71)-SUMIF(70:70,C12,71:71)+100</f>
        <v>100.1</v>
      </c>
      <c r="K12" s="1747"/>
      <c r="L12" s="2488"/>
      <c r="M12" s="2439"/>
      <c r="N12" s="2439"/>
      <c r="O12" s="2439"/>
      <c r="P12" s="3399"/>
      <c r="Q12" s="530" t="str">
        <f t="shared" si="6"/>
        <v>配建</v>
      </c>
      <c r="R12" s="664" t="s">
        <v>18</v>
      </c>
      <c r="S12" s="665">
        <f t="shared" si="0"/>
        <v>100.1</v>
      </c>
      <c r="T12" s="664" t="s">
        <v>18</v>
      </c>
      <c r="U12" s="665">
        <f t="shared" si="1"/>
        <v>100.1</v>
      </c>
      <c r="V12" s="664" t="s">
        <v>18</v>
      </c>
      <c r="W12" s="665">
        <f t="shared" si="2"/>
        <v>100.1</v>
      </c>
      <c r="X12" s="666"/>
      <c r="Y12" s="3263"/>
      <c r="Z12" s="50" t="str">
        <f t="shared" si="7"/>
        <v>配建</v>
      </c>
      <c r="AA12" s="50">
        <f>D12/F12</f>
        <v>0.99900099900099903</v>
      </c>
      <c r="AB12" s="50">
        <f>D12/H12</f>
        <v>0.99900099900099903</v>
      </c>
      <c r="AC12" s="50">
        <f>D12/J12</f>
        <v>0.99900099900099903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7" t="s">
        <v>1691</v>
      </c>
      <c r="Q15" s="1262" t="str">
        <f t="shared" si="6"/>
        <v>居住社区成熟度</v>
      </c>
      <c r="R15" s="667" t="s">
        <v>18</v>
      </c>
      <c r="S15" s="668">
        <f t="shared" si="0"/>
        <v>100</v>
      </c>
      <c r="T15" s="667" t="s">
        <v>18</v>
      </c>
      <c r="U15" s="668">
        <f t="shared" si="1"/>
        <v>100</v>
      </c>
      <c r="V15" s="667" t="s">
        <v>18</v>
      </c>
      <c r="W15" s="668">
        <f t="shared" si="2"/>
        <v>100</v>
      </c>
      <c r="X15" s="1264"/>
      <c r="Y15" s="339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8"/>
      <c r="Q16" s="1262"/>
      <c r="R16" s="667"/>
      <c r="S16" s="668"/>
      <c r="T16" s="667"/>
      <c r="U16" s="668"/>
      <c r="V16" s="667"/>
      <c r="W16" s="668"/>
      <c r="X16" s="1264"/>
      <c r="Y16" s="339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8"/>
      <c r="Q17" s="1262" t="str">
        <f>B17</f>
        <v>交通便捷度</v>
      </c>
      <c r="R17" s="667" t="s">
        <v>18</v>
      </c>
      <c r="S17" s="668">
        <f>F17</f>
        <v>100</v>
      </c>
      <c r="T17" s="667" t="s">
        <v>18</v>
      </c>
      <c r="U17" s="668">
        <f>H17</f>
        <v>100</v>
      </c>
      <c r="V17" s="667" t="s">
        <v>18</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8"/>
      <c r="Q18" s="1262"/>
      <c r="R18" s="667"/>
      <c r="S18" s="668"/>
      <c r="T18" s="667"/>
      <c r="U18" s="668"/>
      <c r="V18" s="667"/>
      <c r="W18" s="668"/>
      <c r="X18" s="1264"/>
      <c r="Y18" s="339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8"/>
      <c r="Q19" s="1262" t="str">
        <f>B19</f>
        <v>公共配套设施</v>
      </c>
      <c r="R19" s="667" t="s">
        <v>18</v>
      </c>
      <c r="S19" s="668">
        <f>F19</f>
        <v>100</v>
      </c>
      <c r="T19" s="667" t="s">
        <v>18</v>
      </c>
      <c r="U19" s="668">
        <f>H19</f>
        <v>100</v>
      </c>
      <c r="V19" s="667" t="s">
        <v>18</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8"/>
      <c r="Q20" s="1262"/>
      <c r="R20" s="667"/>
      <c r="S20" s="668"/>
      <c r="T20" s="667"/>
      <c r="U20" s="668"/>
      <c r="V20" s="667"/>
      <c r="W20" s="668"/>
      <c r="X20" s="1264"/>
      <c r="Y20" s="3391"/>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8"/>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8"/>
      <c r="Q22" s="1262"/>
      <c r="R22" s="667"/>
      <c r="S22" s="668"/>
      <c r="T22" s="667"/>
      <c r="U22" s="668"/>
      <c r="V22" s="667"/>
      <c r="W22" s="668"/>
      <c r="X22" s="1264"/>
      <c r="Y22" s="339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8"/>
      <c r="Q23" s="1262" t="str">
        <f>B23</f>
        <v>自然及人文环境</v>
      </c>
      <c r="R23" s="667" t="s">
        <v>18</v>
      </c>
      <c r="S23" s="668">
        <f>F23</f>
        <v>100</v>
      </c>
      <c r="T23" s="667" t="s">
        <v>18</v>
      </c>
      <c r="U23" s="668">
        <f>H23</f>
        <v>100</v>
      </c>
      <c r="V23" s="667" t="s">
        <v>18</v>
      </c>
      <c r="W23" s="668">
        <f>J23</f>
        <v>100</v>
      </c>
      <c r="X23" s="1264"/>
      <c r="Y23" s="339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8"/>
      <c r="Q24" s="1262"/>
      <c r="R24" s="667"/>
      <c r="S24" s="668"/>
      <c r="T24" s="667"/>
      <c r="U24" s="668"/>
      <c r="V24" s="667"/>
      <c r="W24" s="668"/>
      <c r="X24" s="1264"/>
      <c r="Y24" s="339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8"/>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7"/>
      <c r="B26" s="364" t="s">
        <v>1693</v>
      </c>
      <c r="C26" s="399" t="s">
        <v>3435</v>
      </c>
      <c r="D26" s="374">
        <v>100</v>
      </c>
      <c r="E26" s="1759" t="s">
        <v>3436</v>
      </c>
      <c r="F26" s="374">
        <f>SUMIF(88:88,E26,89:89)-SUMIF(88:88,C26,89:89)+100</f>
        <v>98</v>
      </c>
      <c r="G26" s="1760" t="s">
        <v>3436</v>
      </c>
      <c r="H26" s="374">
        <f>SUMIF(88:88,G26,89:89)-SUMIF(88:88,C26,89:89)+100</f>
        <v>98</v>
      </c>
      <c r="I26" s="1760" t="s">
        <v>3437</v>
      </c>
      <c r="J26" s="374">
        <f>SUMIF(88:88,I26,89:89)-SUMIF(88:88,C26,89:89)+100</f>
        <v>102</v>
      </c>
      <c r="K26" s="365">
        <v>2</v>
      </c>
      <c r="L26" s="2492"/>
      <c r="M26" s="2487"/>
      <c r="N26" s="2487"/>
      <c r="O26" s="2487"/>
      <c r="P26" s="3398"/>
      <c r="Q26" s="1262" t="str">
        <f t="shared" si="11"/>
        <v>朝向</v>
      </c>
      <c r="R26" s="667" t="s">
        <v>18</v>
      </c>
      <c r="S26" s="668">
        <f t="shared" si="12"/>
        <v>98</v>
      </c>
      <c r="T26" s="667" t="s">
        <v>18</v>
      </c>
      <c r="U26" s="668">
        <f t="shared" si="13"/>
        <v>98</v>
      </c>
      <c r="V26" s="667" t="s">
        <v>18</v>
      </c>
      <c r="W26" s="668">
        <f t="shared" si="14"/>
        <v>102</v>
      </c>
      <c r="X26" s="1264"/>
      <c r="Y26" s="3391"/>
      <c r="Z26" s="1263" t="str">
        <f>Q26</f>
        <v>朝向</v>
      </c>
      <c r="AA26" s="1263">
        <f t="shared" si="15"/>
        <v>1.0204081632653061</v>
      </c>
      <c r="AB26" s="1263">
        <f t="shared" si="16"/>
        <v>1.0204081632653061</v>
      </c>
      <c r="AC26" s="1263">
        <f t="shared" si="17"/>
        <v>0.98039215686274506</v>
      </c>
    </row>
    <row r="27" spans="1:29" s="102" customFormat="1" ht="15">
      <c r="A27" s="370"/>
      <c r="B27" s="3155" t="s">
        <v>3434</v>
      </c>
      <c r="C27" s="3146" t="s">
        <v>3432</v>
      </c>
      <c r="D27" s="401">
        <v>100</v>
      </c>
      <c r="E27" s="371" t="str">
        <f>案例!$I$10</f>
        <v>高楼层</v>
      </c>
      <c r="F27" s="401">
        <f>SUMIF(90:90,E27,91:91)-SUMIF(90:90,C27,91:91)+100</f>
        <v>104</v>
      </c>
      <c r="G27" s="1809" t="str">
        <f>案例!$I$11</f>
        <v>中楼层</v>
      </c>
      <c r="H27" s="401">
        <f>SUMIF(90:90,G27,91:91)-SUMIF(90:90,C27,91:91)+100</f>
        <v>102</v>
      </c>
      <c r="I27" s="1809" t="str">
        <f>案例!$I$12</f>
        <v>中楼层</v>
      </c>
      <c r="J27" s="401">
        <f>SUMIF(90:90,I27,91:91)-SUMIF(90:90,C27,91:91)+100</f>
        <v>102</v>
      </c>
      <c r="K27" s="1747"/>
      <c r="L27" s="2488"/>
      <c r="M27" s="2439"/>
      <c r="N27" s="2439"/>
      <c r="O27" s="2439"/>
      <c r="P27" s="3398"/>
      <c r="Q27" s="530" t="str">
        <f t="shared" si="11"/>
        <v>楼层</v>
      </c>
      <c r="R27" s="664" t="s">
        <v>18</v>
      </c>
      <c r="S27" s="665">
        <f t="shared" si="12"/>
        <v>104</v>
      </c>
      <c r="T27" s="664" t="s">
        <v>18</v>
      </c>
      <c r="U27" s="665">
        <f t="shared" si="13"/>
        <v>102</v>
      </c>
      <c r="V27" s="664" t="s">
        <v>18</v>
      </c>
      <c r="W27" s="665">
        <f t="shared" si="14"/>
        <v>102</v>
      </c>
      <c r="X27" s="666"/>
      <c r="Y27" s="3391"/>
      <c r="Z27" s="50" t="str">
        <f>Q27</f>
        <v>楼层</v>
      </c>
      <c r="AA27" s="1263">
        <f t="shared" si="15"/>
        <v>0.96153846153846156</v>
      </c>
      <c r="AB27" s="1263">
        <f t="shared" si="16"/>
        <v>0.98039215686274506</v>
      </c>
      <c r="AC27" s="1263">
        <f t="shared" si="17"/>
        <v>0.98039215686274506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8"/>
      <c r="Q28" s="1262">
        <f t="shared" si="11"/>
        <v>111</v>
      </c>
      <c r="R28" s="667" t="s">
        <v>18</v>
      </c>
      <c r="S28" s="668">
        <f t="shared" si="12"/>
        <v>100</v>
      </c>
      <c r="T28" s="667" t="s">
        <v>18</v>
      </c>
      <c r="U28" s="668">
        <f t="shared" si="13"/>
        <v>100</v>
      </c>
      <c r="V28" s="667" t="s">
        <v>18</v>
      </c>
      <c r="W28" s="668">
        <f t="shared" si="14"/>
        <v>100</v>
      </c>
      <c r="X28" s="1264"/>
      <c r="Y28" s="339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8"/>
      <c r="Q29" s="1262">
        <f t="shared" si="11"/>
        <v>111</v>
      </c>
      <c r="R29" s="667" t="s">
        <v>18</v>
      </c>
      <c r="S29" s="668">
        <f t="shared" si="12"/>
        <v>100</v>
      </c>
      <c r="T29" s="667" t="s">
        <v>18</v>
      </c>
      <c r="U29" s="668">
        <f t="shared" si="13"/>
        <v>100</v>
      </c>
      <c r="V29" s="667" t="s">
        <v>18</v>
      </c>
      <c r="W29" s="668">
        <f t="shared" si="14"/>
        <v>100</v>
      </c>
      <c r="X29" s="1264"/>
      <c r="Y29" s="339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8"/>
      <c r="Q30" s="1262">
        <f t="shared" si="11"/>
        <v>111</v>
      </c>
      <c r="R30" s="667" t="s">
        <v>18</v>
      </c>
      <c r="S30" s="668">
        <f t="shared" si="12"/>
        <v>100</v>
      </c>
      <c r="T30" s="667" t="s">
        <v>18</v>
      </c>
      <c r="U30" s="668">
        <f t="shared" si="13"/>
        <v>100</v>
      </c>
      <c r="V30" s="667" t="s">
        <v>18</v>
      </c>
      <c r="W30" s="668">
        <f t="shared" si="14"/>
        <v>100</v>
      </c>
      <c r="X30" s="1264"/>
      <c r="Y30" s="339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8"/>
      <c r="Q31" s="1262">
        <f t="shared" si="11"/>
        <v>111</v>
      </c>
      <c r="R31" s="667" t="s">
        <v>18</v>
      </c>
      <c r="S31" s="668">
        <f t="shared" si="12"/>
        <v>100</v>
      </c>
      <c r="T31" s="667" t="s">
        <v>18</v>
      </c>
      <c r="U31" s="668">
        <f t="shared" si="13"/>
        <v>100</v>
      </c>
      <c r="V31" s="667" t="s">
        <v>18</v>
      </c>
      <c r="W31" s="668">
        <f t="shared" si="14"/>
        <v>100</v>
      </c>
      <c r="X31" s="1264"/>
      <c r="Y31" s="339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2" t="s">
        <v>1696</v>
      </c>
      <c r="Q32" s="1262" t="str">
        <f t="shared" si="11"/>
        <v>建筑类型</v>
      </c>
      <c r="R32" s="667" t="s">
        <v>18</v>
      </c>
      <c r="S32" s="668">
        <f t="shared" si="12"/>
        <v>100</v>
      </c>
      <c r="T32" s="667" t="s">
        <v>18</v>
      </c>
      <c r="U32" s="668">
        <f t="shared" si="13"/>
        <v>100</v>
      </c>
      <c r="V32" s="667" t="s">
        <v>18</v>
      </c>
      <c r="W32" s="668">
        <f t="shared" si="14"/>
        <v>100</v>
      </c>
      <c r="X32" s="1264"/>
      <c r="Y32" s="3395"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184.86</v>
      </c>
      <c r="D33" s="119">
        <v>100</v>
      </c>
      <c r="E33" s="369">
        <f>案例!E10</f>
        <v>128.58000000000001</v>
      </c>
      <c r="F33" s="364">
        <f>LOOKUP(E33,103:103,104:104)-LOOKUP(C33,103:103,104:104)+100</f>
        <v>101</v>
      </c>
      <c r="G33" s="368">
        <f>案例!E11</f>
        <v>131.91999999999999</v>
      </c>
      <c r="H33" s="119">
        <f>LOOKUP(G33,103:103,104:104)-LOOKUP(C33,103:103,104:104)+100</f>
        <v>101</v>
      </c>
      <c r="I33" s="369">
        <f>案例!E12</f>
        <v>131.91999999999999</v>
      </c>
      <c r="J33" s="119">
        <f>LOOKUP(I33,103:103,104:104)-LOOKUP(C33,103:103,104:104)+100</f>
        <v>101</v>
      </c>
      <c r="K33" s="1747"/>
      <c r="L33" s="2491"/>
      <c r="M33" s="2493"/>
      <c r="N33" s="2493"/>
      <c r="O33" s="2493"/>
      <c r="P33" s="3393"/>
      <c r="Q33" s="531" t="str">
        <f t="shared" si="11"/>
        <v>项目建筑规模</v>
      </c>
      <c r="R33" s="669" t="s">
        <v>18</v>
      </c>
      <c r="S33" s="670">
        <f t="shared" si="12"/>
        <v>101</v>
      </c>
      <c r="T33" s="669" t="s">
        <v>18</v>
      </c>
      <c r="U33" s="670">
        <f t="shared" si="13"/>
        <v>101</v>
      </c>
      <c r="V33" s="669" t="s">
        <v>18</v>
      </c>
      <c r="W33" s="670">
        <f t="shared" si="14"/>
        <v>101</v>
      </c>
      <c r="X33" s="671"/>
      <c r="Y33" s="3395"/>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3"/>
      <c r="Q34" s="1262" t="str">
        <f t="shared" si="11"/>
        <v>建筑结构</v>
      </c>
      <c r="R34" s="667" t="s">
        <v>18</v>
      </c>
      <c r="S34" s="668">
        <f t="shared" si="12"/>
        <v>100</v>
      </c>
      <c r="T34" s="667" t="s">
        <v>18</v>
      </c>
      <c r="U34" s="668">
        <f t="shared" si="13"/>
        <v>100</v>
      </c>
      <c r="V34" s="667" t="s">
        <v>18</v>
      </c>
      <c r="W34" s="668">
        <f t="shared" si="14"/>
        <v>100</v>
      </c>
      <c r="X34" s="1264"/>
      <c r="Y34" s="339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3"/>
      <c r="Q35" s="1262" t="str">
        <f t="shared" si="11"/>
        <v>建筑品质</v>
      </c>
      <c r="R35" s="667" t="s">
        <v>18</v>
      </c>
      <c r="S35" s="668">
        <f t="shared" si="12"/>
        <v>100</v>
      </c>
      <c r="T35" s="667" t="s">
        <v>18</v>
      </c>
      <c r="U35" s="668">
        <f t="shared" si="13"/>
        <v>100</v>
      </c>
      <c r="V35" s="667" t="s">
        <v>18</v>
      </c>
      <c r="W35" s="668">
        <f t="shared" si="14"/>
        <v>100</v>
      </c>
      <c r="X35" s="1264"/>
      <c r="Y35" s="339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3"/>
      <c r="Q36" s="1262" t="str">
        <f t="shared" si="11"/>
        <v>公共部分装修</v>
      </c>
      <c r="R36" s="667" t="s">
        <v>18</v>
      </c>
      <c r="S36" s="668">
        <f t="shared" si="12"/>
        <v>100</v>
      </c>
      <c r="T36" s="667" t="s">
        <v>18</v>
      </c>
      <c r="U36" s="668">
        <f t="shared" si="13"/>
        <v>100</v>
      </c>
      <c r="V36" s="667" t="s">
        <v>18</v>
      </c>
      <c r="W36" s="668">
        <f t="shared" si="14"/>
        <v>100</v>
      </c>
      <c r="X36" s="1264"/>
      <c r="Y36" s="3395"/>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8"/>
      <c r="M37" s="2439"/>
      <c r="N37" s="2439"/>
      <c r="O37" s="2439"/>
      <c r="P37" s="3393"/>
      <c r="Q37" s="530" t="str">
        <f t="shared" si="11"/>
        <v>成新度</v>
      </c>
      <c r="R37" s="664" t="s">
        <v>18</v>
      </c>
      <c r="S37" s="665">
        <f t="shared" si="12"/>
        <v>100</v>
      </c>
      <c r="T37" s="664" t="s">
        <v>18</v>
      </c>
      <c r="U37" s="665">
        <f t="shared" si="13"/>
        <v>100</v>
      </c>
      <c r="V37" s="664" t="s">
        <v>18</v>
      </c>
      <c r="W37" s="665">
        <f t="shared" si="14"/>
        <v>100</v>
      </c>
      <c r="X37" s="666"/>
      <c r="Y37" s="3395"/>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3" t="s">
        <v>1696</v>
      </c>
      <c r="Q38" s="1262" t="str">
        <f t="shared" si="11"/>
        <v>物业管理</v>
      </c>
      <c r="R38" s="667" t="s">
        <v>18</v>
      </c>
      <c r="S38" s="668">
        <f t="shared" si="12"/>
        <v>100</v>
      </c>
      <c r="T38" s="667" t="s">
        <v>18</v>
      </c>
      <c r="U38" s="668">
        <f t="shared" si="13"/>
        <v>100</v>
      </c>
      <c r="V38" s="667" t="s">
        <v>18</v>
      </c>
      <c r="W38" s="668">
        <f t="shared" si="14"/>
        <v>100</v>
      </c>
      <c r="X38" s="1264"/>
      <c r="Y38" s="339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3"/>
      <c r="Q39" s="1262" t="str">
        <f t="shared" si="11"/>
        <v>市政基础设施</v>
      </c>
      <c r="R39" s="667" t="s">
        <v>18</v>
      </c>
      <c r="S39" s="668">
        <f t="shared" si="12"/>
        <v>100</v>
      </c>
      <c r="T39" s="667" t="s">
        <v>18</v>
      </c>
      <c r="U39" s="668">
        <f t="shared" si="13"/>
        <v>100</v>
      </c>
      <c r="V39" s="667" t="s">
        <v>18</v>
      </c>
      <c r="W39" s="668">
        <f t="shared" si="14"/>
        <v>100</v>
      </c>
      <c r="X39" s="1264"/>
      <c r="Y39" s="339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3"/>
      <c r="Q40" s="1262" t="str">
        <f t="shared" si="11"/>
        <v>房型</v>
      </c>
      <c r="R40" s="667" t="s">
        <v>18</v>
      </c>
      <c r="S40" s="668">
        <f t="shared" si="12"/>
        <v>100</v>
      </c>
      <c r="T40" s="667" t="s">
        <v>18</v>
      </c>
      <c r="U40" s="668">
        <f t="shared" si="13"/>
        <v>100</v>
      </c>
      <c r="V40" s="667" t="s">
        <v>18</v>
      </c>
      <c r="W40" s="668">
        <f t="shared" si="14"/>
        <v>100</v>
      </c>
      <c r="X40" s="1264"/>
      <c r="Y40" s="339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3">
        <f t="shared" si="15"/>
        <v>1</v>
      </c>
      <c r="AB41" s="1263">
        <f t="shared" si="16"/>
        <v>1</v>
      </c>
      <c r="AC41" s="1263">
        <f t="shared" si="17"/>
        <v>1</v>
      </c>
    </row>
    <row r="42" spans="1:29" ht="15">
      <c r="A42" s="409"/>
      <c r="B42" s="364" t="s">
        <v>1706</v>
      </c>
      <c r="C42" s="1759" t="s">
        <v>3411</v>
      </c>
      <c r="D42" s="374">
        <v>100</v>
      </c>
      <c r="E42" s="1759" t="s">
        <v>3411</v>
      </c>
      <c r="F42" s="400">
        <f>SUMIF(122:122,E42,123:123)-SUMIF(122:122,C42,123:123)+100</f>
        <v>100</v>
      </c>
      <c r="G42" s="1759" t="s">
        <v>3438</v>
      </c>
      <c r="H42" s="374">
        <f>SUMIF(122:122,G42,123:123)-SUMIF(122:122,C42,123:123)+100</f>
        <v>98</v>
      </c>
      <c r="I42" s="1759" t="s">
        <v>3411</v>
      </c>
      <c r="J42" s="374">
        <f>SUMIF(122:122,I42,123:123)-SUMIF(122:122,C42,123:123)+100</f>
        <v>100</v>
      </c>
      <c r="K42" s="365">
        <v>2</v>
      </c>
      <c r="L42" s="2492"/>
      <c r="M42" s="2487"/>
      <c r="N42" s="2487"/>
      <c r="O42" s="2487"/>
      <c r="P42" s="3393"/>
      <c r="Q42" s="1262" t="str">
        <f t="shared" si="11"/>
        <v>内部装修</v>
      </c>
      <c r="R42" s="667" t="s">
        <v>18</v>
      </c>
      <c r="S42" s="668">
        <f t="shared" si="12"/>
        <v>100</v>
      </c>
      <c r="T42" s="667" t="s">
        <v>18</v>
      </c>
      <c r="U42" s="668">
        <f t="shared" si="13"/>
        <v>98</v>
      </c>
      <c r="V42" s="667" t="s">
        <v>18</v>
      </c>
      <c r="W42" s="668">
        <f t="shared" si="14"/>
        <v>100</v>
      </c>
      <c r="X42" s="1264"/>
      <c r="Y42" s="3395"/>
      <c r="Z42" s="1263" t="str">
        <f t="shared" si="18"/>
        <v>内部装修</v>
      </c>
      <c r="AA42" s="1263">
        <f t="shared" si="15"/>
        <v>1</v>
      </c>
      <c r="AB42" s="1263">
        <f t="shared" si="16"/>
        <v>1.0204081632653061</v>
      </c>
      <c r="AC42" s="1263">
        <f t="shared" si="17"/>
        <v>1</v>
      </c>
    </row>
    <row r="43" spans="1:29" ht="15">
      <c r="A43" s="409"/>
      <c r="B43" s="364" t="s">
        <v>1707</v>
      </c>
      <c r="C43" s="1759" t="s">
        <v>3399</v>
      </c>
      <c r="D43" s="374">
        <v>100</v>
      </c>
      <c r="E43" s="1759" t="s">
        <v>3399</v>
      </c>
      <c r="F43" s="400">
        <f>SUMIF(124:124,E43,125:125)-SUMIF(124:124,C43,125:125)+100</f>
        <v>100</v>
      </c>
      <c r="G43" s="1759" t="s">
        <v>3399</v>
      </c>
      <c r="H43" s="374">
        <f>SUMIF(124:124,G43,125:125)-SUMIF(124:124,C43,125:125)+100</f>
        <v>100</v>
      </c>
      <c r="I43" s="1759" t="s">
        <v>3399</v>
      </c>
      <c r="J43" s="374">
        <f>SUMIF(124:124,I43,125:125)-SUMIF(124:124,C43,125:125)+100</f>
        <v>100</v>
      </c>
      <c r="K43" s="365">
        <v>2</v>
      </c>
      <c r="L43" s="2492"/>
      <c r="M43" s="2487"/>
      <c r="N43" s="2487"/>
      <c r="O43" s="2487"/>
      <c r="P43" s="3393"/>
      <c r="Q43" s="1262" t="str">
        <f t="shared" si="11"/>
        <v>内部装修维护情况</v>
      </c>
      <c r="R43" s="667" t="s">
        <v>18</v>
      </c>
      <c r="S43" s="668">
        <f t="shared" si="12"/>
        <v>100</v>
      </c>
      <c r="T43" s="667" t="s">
        <v>18</v>
      </c>
      <c r="U43" s="668">
        <f t="shared" si="13"/>
        <v>100</v>
      </c>
      <c r="V43" s="667" t="s">
        <v>18</v>
      </c>
      <c r="W43" s="668">
        <f t="shared" si="14"/>
        <v>100</v>
      </c>
      <c r="X43" s="1264"/>
      <c r="Y43" s="3395"/>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3"/>
      <c r="Q45" s="1262">
        <f t="shared" si="11"/>
        <v>111</v>
      </c>
      <c r="R45" s="667" t="s">
        <v>18</v>
      </c>
      <c r="S45" s="668">
        <f t="shared" si="12"/>
        <v>100</v>
      </c>
      <c r="T45" s="667" t="s">
        <v>18</v>
      </c>
      <c r="U45" s="668">
        <f t="shared" si="13"/>
        <v>100</v>
      </c>
      <c r="V45" s="667" t="s">
        <v>18</v>
      </c>
      <c r="W45" s="668">
        <f t="shared" si="14"/>
        <v>100</v>
      </c>
      <c r="X45" s="1264"/>
      <c r="Y45" s="339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4"/>
      <c r="Q46" s="1262">
        <f t="shared" si="11"/>
        <v>111</v>
      </c>
      <c r="R46" s="667" t="s">
        <v>17</v>
      </c>
      <c r="S46" s="668">
        <f t="shared" si="12"/>
        <v>100</v>
      </c>
      <c r="T46" s="667" t="s">
        <v>17</v>
      </c>
      <c r="U46" s="668">
        <f t="shared" si="13"/>
        <v>100</v>
      </c>
      <c r="V46" s="667" t="s">
        <v>17</v>
      </c>
      <c r="W46" s="668">
        <f t="shared" si="14"/>
        <v>100</v>
      </c>
      <c r="X46" s="1264"/>
      <c r="Y46" s="3396"/>
      <c r="Z46" s="1263">
        <f t="shared" si="18"/>
        <v>111</v>
      </c>
      <c r="AA46" s="1263">
        <f t="shared" si="15"/>
        <v>1</v>
      </c>
      <c r="AB46" s="1263">
        <f t="shared" si="16"/>
        <v>1</v>
      </c>
      <c r="AC46" s="1263">
        <f t="shared" si="17"/>
        <v>1</v>
      </c>
    </row>
    <row r="47" spans="1:29" ht="15">
      <c r="A47" s="416" t="s">
        <v>1708</v>
      </c>
      <c r="B47" s="417"/>
      <c r="C47" s="1081" t="s">
        <v>16</v>
      </c>
      <c r="D47" s="418"/>
      <c r="E47" s="419">
        <f>案例!G10</f>
        <v>106004</v>
      </c>
      <c r="F47" s="420"/>
      <c r="G47" s="421">
        <f>案例!G11</f>
        <v>109991</v>
      </c>
      <c r="H47" s="422"/>
      <c r="I47" s="419">
        <f>案例!G12</f>
        <v>111431</v>
      </c>
      <c r="J47" s="422"/>
      <c r="K47" s="1766"/>
      <c r="L47" s="2494"/>
      <c r="M47" s="2487"/>
      <c r="N47" s="2487"/>
      <c r="O47" s="2487"/>
      <c r="P47" s="3388" t="str">
        <f>A47</f>
        <v>成交单价（元/平方米）</v>
      </c>
      <c r="Q47" s="3388"/>
      <c r="R47" s="3389">
        <f>E47</f>
        <v>106004</v>
      </c>
      <c r="S47" s="3389"/>
      <c r="T47" s="3389">
        <f>G47</f>
        <v>109991</v>
      </c>
      <c r="U47" s="3389"/>
      <c r="V47" s="3389">
        <f>I47</f>
        <v>111431</v>
      </c>
      <c r="W47" s="3389"/>
      <c r="X47" s="385"/>
      <c r="Y47" s="673"/>
      <c r="Z47" s="385"/>
      <c r="AA47" s="385"/>
      <c r="AB47" s="385"/>
      <c r="AC47" s="385"/>
    </row>
    <row r="48" spans="1:29" ht="15.75" thickBot="1">
      <c r="A48" s="423" t="s">
        <v>1709</v>
      </c>
      <c r="B48" s="424"/>
      <c r="C48" s="1082">
        <f>R49</f>
        <v>107600</v>
      </c>
      <c r="D48" s="2140" t="s">
        <v>2138</v>
      </c>
      <c r="E48" s="1083">
        <f>R48</f>
        <v>103391</v>
      </c>
      <c r="F48" s="2141"/>
      <c r="G48" s="1082">
        <f>T48</f>
        <v>112293</v>
      </c>
      <c r="H48" s="2141"/>
      <c r="I48" s="1083">
        <f>V48</f>
        <v>107116</v>
      </c>
      <c r="J48" s="2141"/>
      <c r="K48" s="2142">
        <f>F48+H48+J48</f>
        <v>0</v>
      </c>
      <c r="L48" s="2494"/>
      <c r="M48" s="2487"/>
      <c r="N48" s="2487"/>
      <c r="O48" s="2487"/>
      <c r="P48" s="3388" t="str">
        <f>A48</f>
        <v>比较价值（元/平方米）</v>
      </c>
      <c r="Q48" s="3388"/>
      <c r="R48" s="3389">
        <f>IF(F1="售价",ROUND(PRODUCT(R47,AA7:AA46),0),ROUND(PRODUCT(R47,AA7:AA46),1))</f>
        <v>103391</v>
      </c>
      <c r="S48" s="3389"/>
      <c r="T48" s="3389">
        <f>IF(F1="售价",ROUND(PRODUCT(T47,AB7:AB46),0),ROUND(PRODUCT(T47,AB7:AB46),1))</f>
        <v>112293</v>
      </c>
      <c r="U48" s="3389"/>
      <c r="V48" s="3389">
        <f>IF(F1="售价",ROUND(PRODUCT(V47,AC7:AC46),0),ROUND(PRODUCT(V47,AC7:AC46),1))</f>
        <v>107116</v>
      </c>
      <c r="W48" s="3389"/>
      <c r="X48" s="385"/>
      <c r="Y48" s="385"/>
      <c r="Z48" s="385"/>
      <c r="AA48" s="385"/>
      <c r="AB48" s="385"/>
      <c r="AC48" s="385"/>
    </row>
    <row r="49" spans="1:29" ht="15.75" thickBot="1">
      <c r="A49" s="427" t="s">
        <v>1710</v>
      </c>
      <c r="B49" s="428"/>
      <c r="C49" s="1084">
        <f>R49</f>
        <v>107600</v>
      </c>
      <c r="D49" s="351"/>
      <c r="E49" s="351"/>
      <c r="F49" s="351"/>
      <c r="G49" s="351"/>
      <c r="H49" s="351"/>
      <c r="I49" s="351"/>
      <c r="J49" s="351"/>
      <c r="K49" s="1767"/>
      <c r="L49" s="2494"/>
      <c r="M49" s="2487"/>
      <c r="N49" s="2487"/>
      <c r="O49" s="2487"/>
      <c r="P49" s="3385" t="str">
        <f>A49</f>
        <v>估价对象XX用房的比较价值（楼面单价，元/平方米）</v>
      </c>
      <c r="Q49" s="3386"/>
      <c r="R49" s="3387">
        <f>IF(F1="售价",ROUND(IF(D48="简单平均",AVERAGE(R48:V48),R48*F48+T48*H48+V48*J48),0),ROUND(IF(D48="简单平均",AVERAGE(R48:V48),R48*F48+T48*H48+V48*J48),1))</f>
        <v>107600</v>
      </c>
      <c r="S49" s="3387"/>
      <c r="T49" s="3387"/>
      <c r="U49" s="3387"/>
      <c r="V49" s="3387"/>
      <c r="W49" s="3387"/>
      <c r="X49" s="385"/>
      <c r="Y49" s="385"/>
      <c r="Z49" s="385"/>
      <c r="AA49" s="385"/>
      <c r="AB49" s="385"/>
      <c r="AC49" s="385"/>
    </row>
    <row r="50" spans="1:29">
      <c r="A50" s="2487"/>
      <c r="B50" s="2487"/>
      <c r="C50" s="2487"/>
      <c r="D50" s="2487"/>
      <c r="E50" s="2487"/>
      <c r="F50" s="2487"/>
      <c r="G50" s="2498"/>
      <c r="H50" s="2487"/>
      <c r="I50" s="2487">
        <v>140647</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2.5272992813687889E-2</v>
      </c>
      <c r="F52" s="435" t="str">
        <f>IF(OR(E52&gt;=0.3,E52&lt;=-0.3),"超过30%","")</f>
        <v/>
      </c>
      <c r="G52" s="434">
        <f>IF(G47&lt;G48,G48/G47-1,G47/G48-1)</f>
        <v>2.0928985098780828E-2</v>
      </c>
      <c r="H52" s="435" t="str">
        <f>IF(OR(G52&gt;=0.3,G52&lt;=-0.3),"超过30%","")</f>
        <v/>
      </c>
      <c r="I52" s="434">
        <f>IF(I47&lt;I48,I48/I47-1,I47/I48-1)</f>
        <v>4.0283431046715723E-2</v>
      </c>
      <c r="J52" s="435" t="str">
        <f>IF(OR(I52&gt;=0.3,I52&lt;=-0.3),"超过30%","")</f>
        <v/>
      </c>
      <c r="K52" s="2499"/>
      <c r="L52" s="2495"/>
      <c r="M52" s="2487"/>
      <c r="N52" s="2487"/>
      <c r="O52" s="2487"/>
    </row>
    <row r="53" spans="1:29" ht="13.5" customHeight="1">
      <c r="A53" s="2487"/>
      <c r="B53" s="2487"/>
      <c r="C53" s="432" t="s">
        <v>1712</v>
      </c>
      <c r="D53" s="436"/>
      <c r="E53" s="434">
        <f>IF(E48&lt;G48,G48/E48-1,E48/G48-1)</f>
        <v>8.6100337553558726E-2</v>
      </c>
      <c r="F53" s="435" t="str">
        <f>IF(OR(E53&gt;=0.2,E53&lt;=-0.2),"超过20%","")</f>
        <v/>
      </c>
      <c r="G53" s="434">
        <f>IF(G48&lt;I48,I48/G48-1,G48/I48-1)</f>
        <v>4.8330781582583304E-2</v>
      </c>
      <c r="H53" s="435" t="str">
        <f>IF(OR(G53&gt;=0.2,G53&lt;=-0.2),"超过20%","")</f>
        <v/>
      </c>
      <c r="I53" s="434">
        <f>IF(I48&lt;E48,E48/I48-1,I48/E48-1)</f>
        <v>3.6028280991575734E-2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3.7611788234406252E-2</v>
      </c>
      <c r="F54" s="435" t="str">
        <f>IF(OR(E54&gt;=0.3,E54&lt;=-0.3),"超过30%","")</f>
        <v/>
      </c>
      <c r="G54" s="434">
        <f>IF(G47&lt;I47,I47/G47-1,G47/I47-1)</f>
        <v>1.309198025292968E-2</v>
      </c>
      <c r="H54" s="435" t="str">
        <f>IF(OR(G54&gt;=0.3,G54&lt;=-0.3),"超过30%","")</f>
        <v/>
      </c>
      <c r="I54" s="434">
        <f>IF(I47&lt;E47,E47/I47-1,I47/E47-1)</f>
        <v>5.119618127617831E-2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2023-8</v>
      </c>
      <c r="D58" s="1103">
        <f>EDATE(C58,-1)</f>
        <v>45108</v>
      </c>
      <c r="E58" s="1103">
        <f>EDATE(D58,-1)</f>
        <v>45078</v>
      </c>
      <c r="F58" s="1103">
        <f t="shared" ref="F58:P58" si="19">EDATE(E58,-1)</f>
        <v>45047</v>
      </c>
      <c r="G58" s="1103">
        <f t="shared" si="19"/>
        <v>45017</v>
      </c>
      <c r="H58" s="1103">
        <f t="shared" si="19"/>
        <v>44986</v>
      </c>
      <c r="I58" s="1103">
        <f t="shared" si="19"/>
        <v>44958</v>
      </c>
      <c r="J58" s="1103">
        <f t="shared" si="19"/>
        <v>44927</v>
      </c>
      <c r="K58" s="1103">
        <f t="shared" si="19"/>
        <v>44896</v>
      </c>
      <c r="L58" s="1103">
        <f t="shared" si="19"/>
        <v>44866</v>
      </c>
      <c r="M58" s="1103">
        <f t="shared" si="19"/>
        <v>44835</v>
      </c>
      <c r="N58" s="1103">
        <f t="shared" si="19"/>
        <v>44805</v>
      </c>
      <c r="O58" s="1103">
        <f t="shared" si="19"/>
        <v>44774</v>
      </c>
      <c r="P58" s="3156">
        <f t="shared" si="19"/>
        <v>44743</v>
      </c>
    </row>
    <row r="59" spans="1:29" s="102" customFormat="1" ht="15">
      <c r="A59" s="443"/>
      <c r="B59" s="1771"/>
      <c r="C59" s="1101">
        <v>100</v>
      </c>
      <c r="D59" s="445">
        <f>案例!D44</f>
        <v>99.6</v>
      </c>
      <c r="E59" s="445">
        <f>案例!E44</f>
        <v>100.2</v>
      </c>
      <c r="F59" s="445">
        <f>案例!F44</f>
        <v>100.9</v>
      </c>
      <c r="G59" s="445">
        <f>案例!G44</f>
        <v>101.5</v>
      </c>
      <c r="H59" s="445">
        <f>案例!H44</f>
        <v>101.4</v>
      </c>
      <c r="I59" s="445">
        <f>案例!I44</f>
        <v>100.7</v>
      </c>
      <c r="J59" s="445">
        <f>案例!J44</f>
        <v>99.9</v>
      </c>
      <c r="K59" s="445">
        <f>案例!K44</f>
        <v>99</v>
      </c>
      <c r="L59" s="445">
        <f>案例!L44</f>
        <v>99.4</v>
      </c>
      <c r="M59" s="445">
        <f>案例!M44</f>
        <v>99.6</v>
      </c>
      <c r="N59" s="445">
        <f>案例!N44</f>
        <v>99.5</v>
      </c>
      <c r="O59" s="445">
        <f>案例!O44</f>
        <v>99.1</v>
      </c>
      <c r="P59" s="445">
        <f>案例!P44</f>
        <v>98.9</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44" t="s">
        <v>3408</v>
      </c>
      <c r="E61" s="31"/>
      <c r="F61" s="31"/>
      <c r="G61" s="31"/>
      <c r="H61" s="31"/>
      <c r="I61" s="31"/>
      <c r="J61" s="31"/>
      <c r="K61" s="31"/>
      <c r="L61" s="457"/>
      <c r="M61" s="458"/>
      <c r="N61" s="878"/>
      <c r="O61" s="878"/>
      <c r="P61" s="1773"/>
      <c r="Q61" s="439"/>
    </row>
    <row r="62" spans="1:29" s="102" customFormat="1" ht="15.75" thickBot="1">
      <c r="A62" s="455"/>
      <c r="B62" s="444"/>
      <c r="C62" s="445">
        <v>100</v>
      </c>
      <c r="D62" s="446">
        <v>95</v>
      </c>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t="str">
        <f>B12</f>
        <v>配建</v>
      </c>
      <c r="C70" s="3147" t="s">
        <v>3445</v>
      </c>
      <c r="D70" s="3147" t="s">
        <v>3426</v>
      </c>
      <c r="E70" s="485"/>
      <c r="F70" s="485"/>
      <c r="G70" s="485"/>
      <c r="H70" s="486"/>
      <c r="I70" s="486"/>
      <c r="J70" s="486"/>
      <c r="K70" s="486"/>
      <c r="L70" s="487"/>
      <c r="M70" s="488"/>
      <c r="N70" s="881"/>
      <c r="O70" s="881"/>
      <c r="P70" s="1775"/>
      <c r="Q70" s="490"/>
    </row>
    <row r="71" spans="1:17" s="408" customFormat="1" ht="15.75" thickBot="1">
      <c r="A71" s="484"/>
      <c r="B71" s="474"/>
      <c r="C71" s="491">
        <v>100</v>
      </c>
      <c r="D71" s="467">
        <v>100.1</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7" t="s">
        <v>3427</v>
      </c>
      <c r="D88" s="3147" t="s">
        <v>3428</v>
      </c>
      <c r="E88" s="3147" t="s">
        <v>3429</v>
      </c>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4"/>
      <c r="Q89" s="439"/>
    </row>
    <row r="90" spans="1:17" s="408" customFormat="1" ht="15.75" thickTop="1">
      <c r="A90" s="484"/>
      <c r="B90" s="469" t="str">
        <f>B27</f>
        <v>楼层</v>
      </c>
      <c r="C90" s="3147" t="s">
        <v>3430</v>
      </c>
      <c r="D90" s="3147" t="s">
        <v>3431</v>
      </c>
      <c r="E90" s="3147" t="s">
        <v>3433</v>
      </c>
      <c r="F90" s="485"/>
      <c r="G90" s="485"/>
      <c r="H90" s="486"/>
      <c r="I90" s="486"/>
      <c r="J90" s="486"/>
      <c r="K90" s="486"/>
      <c r="L90" s="487"/>
      <c r="M90" s="488"/>
      <c r="N90" s="881"/>
      <c r="O90" s="881"/>
      <c r="P90" s="1775"/>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150</v>
      </c>
      <c r="E103" s="6">
        <v>300</v>
      </c>
      <c r="F103" s="6">
        <v>400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7" t="s">
        <v>3412</v>
      </c>
      <c r="D122" s="3147" t="s">
        <v>3413</v>
      </c>
      <c r="E122" s="3147" t="s">
        <v>3414</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D99C-A5DC-47DD-BA3D-2E8409CED408}">
  <dimension ref="A1:V22"/>
  <sheetViews>
    <sheetView workbookViewId="0">
      <selection activeCell="D22" sqref="D22"/>
    </sheetView>
  </sheetViews>
  <sheetFormatPr defaultRowHeight="14.25"/>
  <cols>
    <col min="1" max="128" width="20" style="3171" customWidth="1"/>
    <col min="129" max="16384" width="9" style="3171"/>
  </cols>
  <sheetData>
    <row r="1" spans="1:22" s="3168" customFormat="1">
      <c r="A1" s="3430" t="s">
        <v>3443</v>
      </c>
      <c r="B1" s="3169">
        <v>45383.333831018521</v>
      </c>
      <c r="C1" s="3169">
        <v>45352.333831018521</v>
      </c>
      <c r="D1" s="3170">
        <v>45323.333831018521</v>
      </c>
      <c r="E1" s="3169">
        <v>45292.333831018521</v>
      </c>
      <c r="F1" s="3169">
        <v>45261.333831018521</v>
      </c>
      <c r="G1" s="3169">
        <v>45231.333831018521</v>
      </c>
      <c r="H1" s="3169">
        <v>45200.333831018521</v>
      </c>
      <c r="I1" s="3169">
        <v>45170.333831018521</v>
      </c>
      <c r="J1" s="3169">
        <v>45139.333831018521</v>
      </c>
      <c r="K1" s="3169">
        <v>45108.333831018521</v>
      </c>
      <c r="L1" s="3169">
        <v>45078.333831018521</v>
      </c>
      <c r="M1" s="3169">
        <v>45047.333831018521</v>
      </c>
      <c r="N1" s="3169">
        <v>45017.333831018521</v>
      </c>
      <c r="O1" s="3169">
        <v>44986.333831018521</v>
      </c>
      <c r="P1" s="3169">
        <v>44958.333831018521</v>
      </c>
      <c r="Q1" s="3169">
        <v>44927.333831018521</v>
      </c>
      <c r="R1" s="3169">
        <v>44896.333831018521</v>
      </c>
      <c r="S1" s="3169">
        <v>44866.333831018521</v>
      </c>
      <c r="T1" s="3169">
        <v>44835.333831018521</v>
      </c>
      <c r="U1" s="3169">
        <v>44805.333831018521</v>
      </c>
      <c r="V1" s="3169">
        <v>44774.333831018521</v>
      </c>
    </row>
    <row r="2" spans="1:22" s="3168" customFormat="1" hidden="1">
      <c r="A2" s="3430"/>
      <c r="B2" s="3168" t="s">
        <v>3440</v>
      </c>
      <c r="C2" s="3168" t="s">
        <v>3440</v>
      </c>
      <c r="D2" s="3168" t="s">
        <v>3440</v>
      </c>
      <c r="E2" s="3168" t="s">
        <v>3440</v>
      </c>
      <c r="F2" s="3168" t="s">
        <v>3440</v>
      </c>
      <c r="G2" s="3168" t="s">
        <v>3440</v>
      </c>
      <c r="H2" s="3168" t="s">
        <v>3440</v>
      </c>
      <c r="I2" s="3168" t="s">
        <v>3440</v>
      </c>
      <c r="J2" s="3168" t="s">
        <v>3440</v>
      </c>
      <c r="K2" s="3168" t="s">
        <v>3440</v>
      </c>
      <c r="L2" s="3168" t="s">
        <v>3440</v>
      </c>
      <c r="M2" s="3168" t="s">
        <v>3440</v>
      </c>
      <c r="N2" s="3168" t="s">
        <v>3440</v>
      </c>
      <c r="O2" s="3168" t="s">
        <v>3440</v>
      </c>
      <c r="P2" s="3168" t="s">
        <v>3440</v>
      </c>
      <c r="Q2" s="3168" t="s">
        <v>3440</v>
      </c>
      <c r="R2" s="3168" t="s">
        <v>3440</v>
      </c>
      <c r="S2" s="3168" t="s">
        <v>3440</v>
      </c>
      <c r="T2" s="3168" t="s">
        <v>3440</v>
      </c>
      <c r="U2" s="3168" t="s">
        <v>3440</v>
      </c>
      <c r="V2" s="3168" t="s">
        <v>3440</v>
      </c>
    </row>
    <row r="3" spans="1:22" s="3168" customFormat="1">
      <c r="A3" s="3168" t="s">
        <v>3444</v>
      </c>
      <c r="B3" s="3168">
        <v>130.31</v>
      </c>
      <c r="C3" s="3168">
        <v>119.09</v>
      </c>
      <c r="D3" s="3168">
        <v>120</v>
      </c>
      <c r="E3" s="3168">
        <v>126.19</v>
      </c>
      <c r="F3" s="3168">
        <v>124.52</v>
      </c>
      <c r="G3" s="3168">
        <v>127.83</v>
      </c>
      <c r="H3" s="3168">
        <v>140.91</v>
      </c>
      <c r="I3" s="3168">
        <v>138.69</v>
      </c>
      <c r="J3" s="3168">
        <v>118.47</v>
      </c>
      <c r="K3" s="3168">
        <v>120.05</v>
      </c>
      <c r="L3" s="3168">
        <v>119.77</v>
      </c>
      <c r="M3" s="3168">
        <v>119.48</v>
      </c>
      <c r="N3" s="3168">
        <v>118.72</v>
      </c>
      <c r="O3" s="3168">
        <v>123.38</v>
      </c>
      <c r="P3" s="3168">
        <v>122.56</v>
      </c>
      <c r="Q3" s="3168">
        <v>117.44</v>
      </c>
      <c r="R3" s="3168">
        <v>122.68</v>
      </c>
      <c r="S3" s="3168">
        <v>124.31</v>
      </c>
      <c r="T3" s="3168">
        <v>184.27</v>
      </c>
      <c r="U3" s="3168">
        <v>158.19999999999999</v>
      </c>
      <c r="V3" s="3168">
        <v>154.46</v>
      </c>
    </row>
    <row r="5" spans="1:22">
      <c r="J5" s="3171">
        <f>AVERAGE(J3:V3)</f>
        <v>131.06076923076924</v>
      </c>
      <c r="K5" s="3171">
        <f>J5*'数据-汇总表'!F19</f>
        <v>24227.893800000002</v>
      </c>
    </row>
    <row r="8" spans="1:22">
      <c r="B8" s="3169">
        <v>45383.333831018521</v>
      </c>
      <c r="C8" s="3169">
        <v>45352.333831018521</v>
      </c>
      <c r="D8" s="3170">
        <v>45323.333831018521</v>
      </c>
      <c r="E8" s="3169">
        <v>45292.333831018521</v>
      </c>
      <c r="F8" s="3169">
        <v>45261.333831018521</v>
      </c>
      <c r="G8" s="3169">
        <v>45231.333831018521</v>
      </c>
      <c r="H8" s="3169">
        <v>45200.333831018521</v>
      </c>
      <c r="I8" s="3169">
        <v>45170.333831018521</v>
      </c>
      <c r="J8" s="3169">
        <v>45139.333831018521</v>
      </c>
      <c r="K8" s="3169">
        <v>45108.333831018521</v>
      </c>
      <c r="L8" s="3169">
        <v>45078.333831018521</v>
      </c>
      <c r="M8" s="3169">
        <v>45047.333831018521</v>
      </c>
      <c r="N8" s="3169">
        <v>45017.333831018521</v>
      </c>
      <c r="O8" s="3169">
        <v>44986.333831018521</v>
      </c>
      <c r="P8" s="3169">
        <v>44958.333831018521</v>
      </c>
      <c r="Q8" s="3169">
        <v>44927.333831018521</v>
      </c>
      <c r="R8" s="3169">
        <v>44896.333831018521</v>
      </c>
      <c r="S8" s="3169">
        <v>44866.333831018521</v>
      </c>
      <c r="T8" s="3169">
        <v>44835.333831018521</v>
      </c>
      <c r="U8" s="3169">
        <v>44805.333831018521</v>
      </c>
      <c r="V8" s="3169">
        <v>44774.333831018521</v>
      </c>
    </row>
    <row r="9" spans="1:22">
      <c r="B9" s="3168" t="s">
        <v>3441</v>
      </c>
      <c r="C9" s="3168" t="s">
        <v>3441</v>
      </c>
      <c r="D9" s="3168" t="s">
        <v>3441</v>
      </c>
      <c r="E9" s="3168" t="s">
        <v>3441</v>
      </c>
      <c r="F9" s="3168" t="s">
        <v>3441</v>
      </c>
      <c r="G9" s="3168" t="s">
        <v>3441</v>
      </c>
      <c r="H9" s="3168" t="s">
        <v>3441</v>
      </c>
      <c r="I9" s="3168" t="s">
        <v>3441</v>
      </c>
      <c r="J9" s="3168" t="s">
        <v>3441</v>
      </c>
      <c r="K9" s="3168" t="s">
        <v>3441</v>
      </c>
      <c r="L9" s="3168" t="s">
        <v>3441</v>
      </c>
      <c r="M9" s="3168" t="s">
        <v>3441</v>
      </c>
      <c r="N9" s="3168" t="s">
        <v>3441</v>
      </c>
      <c r="O9" s="3168" t="s">
        <v>3441</v>
      </c>
      <c r="P9" s="3168" t="s">
        <v>3441</v>
      </c>
      <c r="Q9" s="3168" t="s">
        <v>3441</v>
      </c>
      <c r="R9" s="3168" t="s">
        <v>3441</v>
      </c>
      <c r="S9" s="3168" t="s">
        <v>3441</v>
      </c>
      <c r="T9" s="3168" t="s">
        <v>3441</v>
      </c>
      <c r="U9" s="3168" t="s">
        <v>3441</v>
      </c>
      <c r="V9" s="3168" t="s">
        <v>3441</v>
      </c>
    </row>
    <row r="10" spans="1:22">
      <c r="B10" s="3168">
        <v>16428</v>
      </c>
      <c r="C10" s="3168">
        <v>14052</v>
      </c>
      <c r="D10" s="3168">
        <v>14823</v>
      </c>
      <c r="E10" s="3168">
        <v>15662</v>
      </c>
      <c r="F10" s="3168">
        <v>15917</v>
      </c>
      <c r="G10" s="3168">
        <v>17172</v>
      </c>
      <c r="H10" s="3168">
        <v>20933</v>
      </c>
      <c r="I10" s="3168">
        <v>18900</v>
      </c>
      <c r="J10" s="3168">
        <v>14011</v>
      </c>
      <c r="K10" s="3168">
        <v>14011</v>
      </c>
      <c r="L10" s="3168">
        <v>13848</v>
      </c>
      <c r="M10" s="3168">
        <v>13885</v>
      </c>
      <c r="N10" s="3168">
        <v>13906</v>
      </c>
      <c r="O10" s="3168">
        <v>14509</v>
      </c>
      <c r="P10" s="3168">
        <v>14376</v>
      </c>
      <c r="Q10" s="3168">
        <v>13570</v>
      </c>
      <c r="R10" s="3168">
        <v>14127</v>
      </c>
      <c r="S10" s="3168">
        <v>14390</v>
      </c>
      <c r="T10" s="3168">
        <v>23955</v>
      </c>
      <c r="U10" s="3168">
        <v>22443</v>
      </c>
      <c r="V10" s="3168">
        <v>22126</v>
      </c>
    </row>
    <row r="14" spans="1:22">
      <c r="B14" s="3169">
        <v>45383.333831018521</v>
      </c>
      <c r="C14" s="3169">
        <v>45352.333831018521</v>
      </c>
      <c r="D14" s="3170">
        <v>45323.333831018521</v>
      </c>
      <c r="E14" s="3169">
        <v>45292.333831018521</v>
      </c>
      <c r="F14" s="3169">
        <v>45261.333831018521</v>
      </c>
      <c r="G14" s="3169">
        <v>45231.333831018521</v>
      </c>
      <c r="H14" s="3169">
        <v>45200.333831018521</v>
      </c>
      <c r="I14" s="3169">
        <v>45170.333831018521</v>
      </c>
      <c r="J14" s="3169">
        <v>45139.333831018521</v>
      </c>
      <c r="K14" s="3169">
        <v>45108.333831018521</v>
      </c>
      <c r="L14" s="3169">
        <v>45078.333831018521</v>
      </c>
      <c r="M14" s="3169">
        <v>45047.333831018521</v>
      </c>
      <c r="N14" s="3169">
        <v>45017.333831018521</v>
      </c>
      <c r="O14" s="3169">
        <v>44986.333831018521</v>
      </c>
      <c r="P14" s="3169">
        <v>44958.333831018521</v>
      </c>
      <c r="Q14" s="3169">
        <v>44927.333831018521</v>
      </c>
      <c r="R14" s="3169">
        <v>44896.333831018521</v>
      </c>
      <c r="S14" s="3169">
        <v>44866.333831018521</v>
      </c>
      <c r="T14" s="3169">
        <v>44835.333831018521</v>
      </c>
      <c r="U14" s="3169">
        <v>44805.333831018521</v>
      </c>
      <c r="V14" s="3169">
        <v>44774.333831018521</v>
      </c>
    </row>
    <row r="15" spans="1:22" hidden="1">
      <c r="C15" s="3168" t="s">
        <v>3442</v>
      </c>
      <c r="D15" s="3168" t="s">
        <v>3442</v>
      </c>
      <c r="E15" s="3168" t="s">
        <v>3442</v>
      </c>
      <c r="F15" s="3168" t="s">
        <v>3442</v>
      </c>
      <c r="G15" s="3168" t="s">
        <v>3442</v>
      </c>
      <c r="H15" s="3168" t="s">
        <v>3442</v>
      </c>
      <c r="I15" s="3168" t="s">
        <v>3442</v>
      </c>
      <c r="J15" s="3168" t="s">
        <v>3442</v>
      </c>
      <c r="K15" s="3168" t="s">
        <v>3442</v>
      </c>
      <c r="L15" s="3168" t="s">
        <v>3442</v>
      </c>
      <c r="M15" s="3168" t="s">
        <v>3442</v>
      </c>
      <c r="N15" s="3168" t="s">
        <v>3442</v>
      </c>
      <c r="O15" s="3168" t="s">
        <v>3442</v>
      </c>
      <c r="P15" s="3168" t="s">
        <v>3442</v>
      </c>
      <c r="Q15" s="3168" t="s">
        <v>3442</v>
      </c>
      <c r="R15" s="3168" t="s">
        <v>3442</v>
      </c>
      <c r="S15" s="3168" t="s">
        <v>3442</v>
      </c>
      <c r="T15" s="3168" t="s">
        <v>3442</v>
      </c>
      <c r="U15" s="3168" t="s">
        <v>3442</v>
      </c>
      <c r="V15" s="3168" t="s">
        <v>3442</v>
      </c>
    </row>
    <row r="16" spans="1:22">
      <c r="C16" s="3168">
        <v>116756</v>
      </c>
      <c r="D16" s="3168">
        <v>117666</v>
      </c>
      <c r="E16" s="3168">
        <v>122978</v>
      </c>
      <c r="F16" s="3168">
        <v>121719</v>
      </c>
      <c r="G16" s="3168">
        <v>119338</v>
      </c>
      <c r="H16" s="3168">
        <v>118794</v>
      </c>
      <c r="I16" s="3168">
        <v>120738</v>
      </c>
      <c r="J16" s="3168">
        <v>121389</v>
      </c>
      <c r="K16" s="3168">
        <v>120759</v>
      </c>
      <c r="L16" s="3168">
        <v>119050</v>
      </c>
      <c r="M16" s="3168">
        <v>120173</v>
      </c>
      <c r="N16" s="3168">
        <v>119438</v>
      </c>
      <c r="O16" s="3168">
        <v>119144</v>
      </c>
      <c r="P16" s="3168">
        <v>120715</v>
      </c>
      <c r="Q16" s="3168">
        <v>115338</v>
      </c>
      <c r="R16" s="3168">
        <v>121638</v>
      </c>
      <c r="S16" s="3168">
        <v>119734</v>
      </c>
      <c r="T16" s="3168">
        <v>120274</v>
      </c>
      <c r="U16" s="3168">
        <v>121314</v>
      </c>
      <c r="V16" s="3168">
        <v>122865</v>
      </c>
    </row>
    <row r="22" spans="4:4">
      <c r="D22" s="3171">
        <f>28000*0.99</f>
        <v>27720</v>
      </c>
    </row>
  </sheetData>
  <mergeCells count="1">
    <mergeCell ref="A1:A2"/>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942-C40B-47F1-94FA-7E8B0799E73D}">
  <dimension ref="B6:CF58"/>
  <sheetViews>
    <sheetView workbookViewId="0">
      <selection activeCell="Q65" sqref="Q65"/>
    </sheetView>
  </sheetViews>
  <sheetFormatPr defaultRowHeight="13.5"/>
  <cols>
    <col min="1" max="3" width="9" style="3148"/>
    <col min="4" max="4" width="11.625" style="3148" bestFit="1" customWidth="1"/>
    <col min="5" max="7" width="9" style="3149"/>
    <col min="8" max="10" width="9" style="3148"/>
    <col min="11" max="13" width="11.5" style="3148" customWidth="1"/>
    <col min="14" max="16384" width="9" style="3148"/>
  </cols>
  <sheetData>
    <row r="6" spans="4:11">
      <c r="E6" s="3149" t="s">
        <v>3415</v>
      </c>
      <c r="F6" s="3149" t="s">
        <v>3416</v>
      </c>
      <c r="G6" s="3149" t="s">
        <v>3417</v>
      </c>
    </row>
    <row r="7" spans="4:11">
      <c r="D7" s="3150">
        <v>45323</v>
      </c>
      <c r="E7" s="3149">
        <v>128.58000000000001</v>
      </c>
      <c r="F7" s="3149">
        <v>1338</v>
      </c>
      <c r="G7" s="3149">
        <f>ROUND(F7*10000/E7,0)</f>
        <v>104060</v>
      </c>
      <c r="H7" s="3148" t="s">
        <v>3418</v>
      </c>
      <c r="I7" s="3148" t="s">
        <v>3419</v>
      </c>
      <c r="J7" s="3148" t="s">
        <v>3420</v>
      </c>
    </row>
    <row r="8" spans="4:11">
      <c r="D8" s="3150">
        <v>45251</v>
      </c>
      <c r="E8" s="3149">
        <v>132.12</v>
      </c>
      <c r="F8" s="3149">
        <v>1332</v>
      </c>
      <c r="G8" s="3149">
        <f>ROUND(F8*10000/E8,0)</f>
        <v>100817</v>
      </c>
      <c r="H8" s="3148" t="s">
        <v>3418</v>
      </c>
      <c r="I8" s="3148" t="s">
        <v>3419</v>
      </c>
      <c r="J8" s="3148" t="s">
        <v>3420</v>
      </c>
    </row>
    <row r="9" spans="4:11">
      <c r="D9" s="3150">
        <v>45235</v>
      </c>
      <c r="E9" s="3149">
        <v>132.66999999999999</v>
      </c>
      <c r="F9" s="3149">
        <v>1480</v>
      </c>
      <c r="G9" s="3149">
        <f t="shared" ref="G9:G11" si="0">ROUND(F9*10000/E9,0)</f>
        <v>111555</v>
      </c>
      <c r="H9" s="3148" t="s">
        <v>3421</v>
      </c>
      <c r="I9" s="3148" t="s">
        <v>3422</v>
      </c>
      <c r="J9" s="3148" t="s">
        <v>3420</v>
      </c>
      <c r="K9" s="3151" t="s">
        <v>3423</v>
      </c>
    </row>
    <row r="10" spans="4:11">
      <c r="D10" s="3152">
        <v>44812</v>
      </c>
      <c r="E10" s="3153">
        <v>128.58000000000001</v>
      </c>
      <c r="F10" s="3153">
        <v>1363</v>
      </c>
      <c r="G10" s="3153">
        <f t="shared" si="0"/>
        <v>106004</v>
      </c>
      <c r="H10" s="3154" t="s">
        <v>3418</v>
      </c>
      <c r="I10" s="3154" t="s">
        <v>3422</v>
      </c>
      <c r="J10" s="3154" t="s">
        <v>3420</v>
      </c>
    </row>
    <row r="11" spans="4:11">
      <c r="D11" s="3152">
        <v>44760</v>
      </c>
      <c r="E11" s="3153">
        <v>131.91999999999999</v>
      </c>
      <c r="F11" s="3153">
        <v>1451</v>
      </c>
      <c r="G11" s="3153">
        <f t="shared" si="0"/>
        <v>109991</v>
      </c>
      <c r="H11" s="3154" t="s">
        <v>3418</v>
      </c>
      <c r="I11" s="3154" t="s">
        <v>3419</v>
      </c>
      <c r="J11" s="3154" t="s">
        <v>3424</v>
      </c>
    </row>
    <row r="12" spans="4:11">
      <c r="D12" s="3150">
        <v>44745</v>
      </c>
      <c r="E12" s="3149">
        <v>131.91999999999999</v>
      </c>
      <c r="F12" s="3149">
        <v>1470</v>
      </c>
      <c r="G12" s="3149">
        <f>ROUND(F12*10000/E12,0)</f>
        <v>111431</v>
      </c>
      <c r="H12" s="3148" t="s">
        <v>3425</v>
      </c>
      <c r="I12" s="3148" t="s">
        <v>3419</v>
      </c>
      <c r="J12" s="3148" t="s">
        <v>3420</v>
      </c>
    </row>
    <row r="35" spans="3:17">
      <c r="C35" s="3157" t="s">
        <v>3439</v>
      </c>
      <c r="D35" s="3158">
        <v>45108</v>
      </c>
      <c r="E35" s="3158">
        <v>45078</v>
      </c>
      <c r="F35" s="3158">
        <v>45047</v>
      </c>
      <c r="G35" s="3158">
        <v>45017</v>
      </c>
      <c r="H35" s="3158">
        <v>44986</v>
      </c>
      <c r="I35" s="3158">
        <v>44958</v>
      </c>
      <c r="J35" s="3158">
        <v>44927</v>
      </c>
      <c r="K35" s="3158">
        <v>44896</v>
      </c>
      <c r="L35" s="3158">
        <v>44866</v>
      </c>
      <c r="M35" s="3158">
        <v>44835</v>
      </c>
      <c r="N35" s="3161">
        <v>44805</v>
      </c>
      <c r="O35" s="3158">
        <v>44774</v>
      </c>
      <c r="P35" s="3161">
        <v>44743</v>
      </c>
      <c r="Q35" s="3158"/>
    </row>
    <row r="36" spans="3:17">
      <c r="C36" s="3157">
        <v>100.4</v>
      </c>
      <c r="D36" s="3157">
        <v>99.4</v>
      </c>
      <c r="E36" s="3157">
        <v>99.3</v>
      </c>
      <c r="F36" s="3157">
        <v>99.4</v>
      </c>
      <c r="G36" s="3157">
        <v>100.1</v>
      </c>
      <c r="H36" s="3157">
        <v>100.7</v>
      </c>
      <c r="I36" s="3157">
        <v>100.8</v>
      </c>
      <c r="J36" s="3157">
        <v>100.9</v>
      </c>
      <c r="K36" s="3157">
        <v>99.6</v>
      </c>
      <c r="L36" s="3157">
        <v>99.8</v>
      </c>
      <c r="M36" s="3157">
        <v>100.1</v>
      </c>
      <c r="N36" s="3154">
        <v>100.4</v>
      </c>
      <c r="O36" s="3148">
        <v>100.2</v>
      </c>
      <c r="P36" s="3154">
        <v>100.2</v>
      </c>
    </row>
    <row r="37" spans="3:17">
      <c r="C37" s="3157">
        <v>1</v>
      </c>
      <c r="D37" s="3157">
        <f>ROUND(100/C36,4)</f>
        <v>0.996</v>
      </c>
      <c r="E37" s="3157">
        <f t="shared" ref="E37:M37" si="1">ROUND(100/D36,4)</f>
        <v>1.006</v>
      </c>
      <c r="F37" s="3157">
        <f t="shared" si="1"/>
        <v>1.0069999999999999</v>
      </c>
      <c r="G37" s="3157">
        <f t="shared" si="1"/>
        <v>1.006</v>
      </c>
      <c r="H37" s="3157">
        <f t="shared" si="1"/>
        <v>0.999</v>
      </c>
      <c r="I37" s="3157">
        <f t="shared" si="1"/>
        <v>0.99299999999999999</v>
      </c>
      <c r="J37" s="3157">
        <f t="shared" si="1"/>
        <v>0.99209999999999998</v>
      </c>
      <c r="K37" s="3157">
        <f t="shared" si="1"/>
        <v>0.99109999999999998</v>
      </c>
      <c r="L37" s="3157">
        <f t="shared" si="1"/>
        <v>1.004</v>
      </c>
      <c r="M37" s="3157">
        <f t="shared" si="1"/>
        <v>1.002</v>
      </c>
      <c r="N37" s="3162">
        <f t="shared" ref="N37" si="2">ROUND(100/M36,4)</f>
        <v>0.999</v>
      </c>
      <c r="O37" s="3157">
        <f t="shared" ref="O37:P37" si="3">ROUND(100/N36,4)</f>
        <v>0.996</v>
      </c>
      <c r="P37" s="3162">
        <f t="shared" si="3"/>
        <v>0.998</v>
      </c>
    </row>
    <row r="38" spans="3:17">
      <c r="C38" s="3157">
        <v>1</v>
      </c>
      <c r="D38" s="3157">
        <f>C38*D37</f>
        <v>0.996</v>
      </c>
      <c r="E38" s="3159">
        <f>ROUND(D38*E37,4)</f>
        <v>1.002</v>
      </c>
      <c r="F38" s="3157">
        <f t="shared" ref="F38:L38" si="4">ROUND(E38*F37,4)</f>
        <v>1.0089999999999999</v>
      </c>
      <c r="G38" s="3157">
        <f>ROUND(F38*G37,4)</f>
        <v>1.0150999999999999</v>
      </c>
      <c r="H38" s="3157">
        <f t="shared" si="4"/>
        <v>1.0141</v>
      </c>
      <c r="I38" s="3157">
        <f t="shared" si="4"/>
        <v>1.0069999999999999</v>
      </c>
      <c r="J38" s="3157">
        <f t="shared" si="4"/>
        <v>0.999</v>
      </c>
      <c r="K38" s="3157">
        <f t="shared" si="4"/>
        <v>0.99009999999999998</v>
      </c>
      <c r="L38" s="3157">
        <f t="shared" si="4"/>
        <v>0.99409999999999998</v>
      </c>
      <c r="M38" s="3157">
        <f>ROUND(L38*M37,4)</f>
        <v>0.99609999999999999</v>
      </c>
      <c r="N38" s="3162">
        <f t="shared" ref="N38:P38" si="5">ROUND(M38*N37,4)</f>
        <v>0.99509999999999998</v>
      </c>
      <c r="O38" s="3157">
        <f t="shared" si="5"/>
        <v>0.99109999999999998</v>
      </c>
      <c r="P38" s="3162">
        <f t="shared" si="5"/>
        <v>0.98909999999999998</v>
      </c>
    </row>
    <row r="39" spans="3:17">
      <c r="C39" s="3157"/>
      <c r="D39" s="3157"/>
      <c r="E39" s="3157"/>
      <c r="F39" s="3157"/>
      <c r="G39" s="3157"/>
      <c r="H39" s="3157"/>
      <c r="I39" s="3157"/>
      <c r="J39" s="3157"/>
      <c r="K39" s="3157"/>
      <c r="L39" s="3157"/>
      <c r="M39" s="3157"/>
      <c r="N39" s="3154"/>
      <c r="P39" s="3154"/>
    </row>
    <row r="40" spans="3:17">
      <c r="C40" s="3157"/>
      <c r="D40" s="3157"/>
      <c r="E40" s="3157"/>
      <c r="F40" s="3157"/>
      <c r="G40" s="3157"/>
      <c r="H40" s="3157"/>
      <c r="I40" s="3157"/>
      <c r="J40" s="3157"/>
      <c r="K40" s="3157"/>
      <c r="L40" s="3157"/>
      <c r="M40" s="3157"/>
      <c r="N40" s="3154"/>
      <c r="P40" s="3154"/>
    </row>
    <row r="41" spans="3:17">
      <c r="C41" s="3157"/>
      <c r="D41" s="3157"/>
      <c r="E41" s="3157"/>
      <c r="F41" s="3157"/>
      <c r="G41" s="3157"/>
      <c r="H41" s="3157"/>
      <c r="I41" s="3157"/>
      <c r="J41" s="3157"/>
      <c r="K41" s="3157"/>
      <c r="L41" s="3157"/>
      <c r="M41" s="3157"/>
      <c r="N41" s="3154"/>
      <c r="P41" s="3154"/>
    </row>
    <row r="42" spans="3:17">
      <c r="C42" s="3158">
        <v>45139</v>
      </c>
      <c r="D42" s="3158">
        <v>45108</v>
      </c>
      <c r="E42" s="3158">
        <v>45078</v>
      </c>
      <c r="F42" s="3158">
        <v>45047</v>
      </c>
      <c r="G42" s="3158">
        <v>45017</v>
      </c>
      <c r="H42" s="3158">
        <v>44986</v>
      </c>
      <c r="I42" s="3158">
        <v>44958</v>
      </c>
      <c r="J42" s="3158">
        <v>44927</v>
      </c>
      <c r="K42" s="3158">
        <v>44896</v>
      </c>
      <c r="L42" s="3158">
        <v>44866</v>
      </c>
      <c r="M42" s="3158">
        <v>44835</v>
      </c>
      <c r="N42" s="3161">
        <v>44805</v>
      </c>
      <c r="O42" s="3158">
        <v>44774</v>
      </c>
      <c r="P42" s="3161">
        <v>44743</v>
      </c>
    </row>
    <row r="43" spans="3:17">
      <c r="C43" s="3157"/>
      <c r="D43" s="3157">
        <f>D38</f>
        <v>0.996</v>
      </c>
      <c r="E43" s="3159">
        <f t="shared" ref="E43:L43" si="6">E38</f>
        <v>1.002</v>
      </c>
      <c r="F43" s="3159">
        <f t="shared" si="6"/>
        <v>1.0089999999999999</v>
      </c>
      <c r="G43" s="3159">
        <f t="shared" si="6"/>
        <v>1.0150999999999999</v>
      </c>
      <c r="H43" s="3159">
        <f t="shared" si="6"/>
        <v>1.0141</v>
      </c>
      <c r="I43" s="3159">
        <f t="shared" si="6"/>
        <v>1.0069999999999999</v>
      </c>
      <c r="J43" s="3159">
        <f t="shared" si="6"/>
        <v>0.999</v>
      </c>
      <c r="K43" s="3159">
        <f t="shared" si="6"/>
        <v>0.99009999999999998</v>
      </c>
      <c r="L43" s="3159">
        <f t="shared" si="6"/>
        <v>0.99409999999999998</v>
      </c>
      <c r="M43" s="3159">
        <f>M38</f>
        <v>0.99609999999999999</v>
      </c>
      <c r="N43" s="3163">
        <f t="shared" ref="N43:P43" si="7">N38</f>
        <v>0.99509999999999998</v>
      </c>
      <c r="O43" s="3159">
        <f t="shared" si="7"/>
        <v>0.99109999999999998</v>
      </c>
      <c r="P43" s="3163">
        <f t="shared" si="7"/>
        <v>0.98909999999999998</v>
      </c>
    </row>
    <row r="44" spans="3:17">
      <c r="C44" s="3157"/>
      <c r="D44" s="3157">
        <f t="shared" ref="D44:L44" si="8">ROUND(D43*100,1)</f>
        <v>99.6</v>
      </c>
      <c r="E44" s="3157">
        <f>ROUND(E43*100,1)</f>
        <v>100.2</v>
      </c>
      <c r="F44" s="3157">
        <f t="shared" si="8"/>
        <v>100.9</v>
      </c>
      <c r="G44" s="3157">
        <f t="shared" si="8"/>
        <v>101.5</v>
      </c>
      <c r="H44" s="3157">
        <f t="shared" si="8"/>
        <v>101.4</v>
      </c>
      <c r="I44" s="3157">
        <f t="shared" si="8"/>
        <v>100.7</v>
      </c>
      <c r="J44" s="3157">
        <f t="shared" si="8"/>
        <v>99.9</v>
      </c>
      <c r="K44" s="3157">
        <f t="shared" si="8"/>
        <v>99</v>
      </c>
      <c r="L44" s="3157">
        <f t="shared" si="8"/>
        <v>99.4</v>
      </c>
      <c r="M44" s="3157">
        <f>ROUND(M43*100,1)</f>
        <v>99.6</v>
      </c>
      <c r="N44" s="3164">
        <f t="shared" ref="N44:P44" si="9">ROUND(N43*100,1)</f>
        <v>99.5</v>
      </c>
      <c r="O44" s="3157">
        <f t="shared" si="9"/>
        <v>99.1</v>
      </c>
      <c r="P44" s="3164">
        <f t="shared" si="9"/>
        <v>98.9</v>
      </c>
    </row>
    <row r="45" spans="3:17">
      <c r="C45" s="3157"/>
      <c r="D45" s="3157"/>
      <c r="E45" s="3157"/>
      <c r="F45" s="3157"/>
      <c r="G45" s="3157"/>
      <c r="H45" s="3157"/>
      <c r="I45" s="3157"/>
      <c r="J45" s="3157"/>
      <c r="K45" s="3157"/>
      <c r="L45" s="3157"/>
      <c r="M45" s="3157"/>
    </row>
    <row r="46" spans="3:17">
      <c r="C46" s="3157"/>
      <c r="D46" s="3157"/>
      <c r="E46" s="3157"/>
      <c r="F46" s="3157"/>
      <c r="G46" s="3157"/>
      <c r="H46" s="3157"/>
      <c r="I46" s="3157"/>
      <c r="J46" s="3157"/>
      <c r="K46" s="3157"/>
      <c r="L46" s="3157"/>
      <c r="M46" s="3157"/>
    </row>
    <row r="47" spans="3:17">
      <c r="C47" s="3157" t="e">
        <f>(C44-#REF!)/#REF!*100+100</f>
        <v>#REF!</v>
      </c>
      <c r="D47" s="3157">
        <f t="shared" ref="D47:J47" si="10">(D44-E44)/E44*100+100</f>
        <v>99.401197604790411</v>
      </c>
      <c r="E47" s="3157">
        <f t="shared" si="10"/>
        <v>99.306243805748267</v>
      </c>
      <c r="F47" s="3157">
        <f t="shared" si="10"/>
        <v>99.408866995073893</v>
      </c>
      <c r="G47" s="3157">
        <f t="shared" si="10"/>
        <v>100.09861932938855</v>
      </c>
      <c r="H47" s="3157">
        <f t="shared" si="10"/>
        <v>100.69513406156902</v>
      </c>
      <c r="I47" s="3157">
        <f t="shared" si="10"/>
        <v>100.8008008008008</v>
      </c>
      <c r="J47" s="3157">
        <f t="shared" si="10"/>
        <v>100.90909090909092</v>
      </c>
      <c r="K47" s="3157">
        <f>(K44-L44)/L44*100+100</f>
        <v>99.597585513078471</v>
      </c>
      <c r="L47" s="3157">
        <f>(L44-M44)/M44*100+100</f>
        <v>99.799196787148603</v>
      </c>
      <c r="M47" s="3157">
        <f t="shared" ref="M47:P47" si="11">(M44-N44)/N44*100+100</f>
        <v>100.10050251256281</v>
      </c>
      <c r="N47" s="3157">
        <f t="shared" si="11"/>
        <v>100.40363269424824</v>
      </c>
      <c r="O47" s="3157">
        <f t="shared" si="11"/>
        <v>100.20222446916075</v>
      </c>
      <c r="P47" s="3157" t="e">
        <f t="shared" si="11"/>
        <v>#DIV/0!</v>
      </c>
    </row>
    <row r="48" spans="3:17">
      <c r="C48" s="3160"/>
      <c r="D48"/>
      <c r="E48"/>
      <c r="F48"/>
      <c r="G48"/>
      <c r="H48"/>
      <c r="I48"/>
      <c r="J48"/>
      <c r="K48"/>
      <c r="L48"/>
      <c r="M48"/>
    </row>
    <row r="52" spans="2:84" ht="14.25" thickBot="1">
      <c r="B52" s="3432"/>
      <c r="C52" s="3433"/>
      <c r="D52" s="3431"/>
      <c r="E52" s="3432"/>
      <c r="F52" s="3432"/>
      <c r="G52" s="3433"/>
      <c r="H52" s="3431"/>
      <c r="I52" s="3432"/>
      <c r="J52" s="3432"/>
      <c r="K52" s="3433"/>
      <c r="L52" s="3431"/>
      <c r="M52" s="3432"/>
      <c r="N52" s="3432"/>
      <c r="O52" s="3433"/>
      <c r="P52" s="3431"/>
      <c r="Q52" s="3432"/>
      <c r="R52" s="3432"/>
      <c r="S52" s="3433"/>
      <c r="T52" s="3431"/>
      <c r="U52" s="3432"/>
      <c r="V52" s="3432"/>
      <c r="W52" s="3433"/>
      <c r="X52" s="3431"/>
      <c r="Y52" s="3432"/>
      <c r="Z52" s="3432"/>
      <c r="AA52" s="3433"/>
      <c r="AB52" s="3431"/>
      <c r="AC52" s="3432"/>
      <c r="AD52" s="3432"/>
      <c r="AE52" s="3433"/>
      <c r="CF52"/>
    </row>
    <row r="53" spans="2:84" ht="14.25" thickBot="1">
      <c r="B53" s="3165"/>
      <c r="C53" s="3165"/>
      <c r="D53" s="3165"/>
      <c r="E53" s="3165"/>
      <c r="F53" s="3165"/>
      <c r="G53" s="3165"/>
      <c r="H53" s="3165"/>
      <c r="I53" s="3165"/>
      <c r="J53" s="3165"/>
      <c r="K53" s="3165"/>
      <c r="L53" s="3165"/>
      <c r="M53" s="3165"/>
      <c r="N53" s="3165"/>
      <c r="O53" s="3165"/>
      <c r="P53" s="3165"/>
      <c r="Q53" s="3165"/>
      <c r="R53" s="3165"/>
      <c r="S53" s="3165"/>
      <c r="T53" s="3165"/>
      <c r="U53" s="3165"/>
      <c r="V53" s="3165"/>
      <c r="W53" s="3165"/>
      <c r="X53" s="3165"/>
      <c r="Y53" s="3165"/>
      <c r="Z53" s="3165"/>
      <c r="AA53" s="3165"/>
      <c r="AB53" s="3165"/>
      <c r="AC53" s="3165"/>
      <c r="AD53" s="3165"/>
      <c r="AE53" s="3165"/>
      <c r="CF53"/>
    </row>
    <row r="54" spans="2:84" ht="17.25" thickBot="1">
      <c r="B54" s="3166"/>
      <c r="C54" s="3167"/>
      <c r="D54" s="3167"/>
      <c r="E54" s="3167"/>
      <c r="F54" s="3167"/>
      <c r="G54" s="3167"/>
      <c r="H54" s="3167"/>
      <c r="I54" s="3167"/>
      <c r="J54" s="3167"/>
      <c r="K54" s="3167"/>
      <c r="L54" s="3167"/>
      <c r="M54" s="3167"/>
      <c r="N54" s="3167"/>
      <c r="O54" s="3167"/>
      <c r="P54" s="3167"/>
      <c r="Q54" s="3167"/>
      <c r="R54" s="3167"/>
      <c r="S54" s="3167"/>
      <c r="T54" s="3167"/>
      <c r="U54" s="3167"/>
      <c r="V54" s="3167"/>
      <c r="W54" s="3167"/>
      <c r="X54" s="3167"/>
      <c r="Y54" s="3167"/>
      <c r="Z54" s="3167"/>
      <c r="AA54" s="3167"/>
      <c r="AB54" s="3167"/>
      <c r="AC54" s="3167"/>
      <c r="AD54" s="3167"/>
      <c r="AE54" s="3167"/>
      <c r="CF54" s="3167">
        <v>0.59375</v>
      </c>
    </row>
    <row r="56" spans="2:84" ht="14.25" thickBot="1">
      <c r="B56" s="3431"/>
      <c r="C56" s="3432"/>
      <c r="D56" s="3432"/>
      <c r="E56" s="3433"/>
      <c r="F56" s="3431"/>
      <c r="G56" s="3432"/>
      <c r="H56" s="3432"/>
      <c r="I56" s="3433"/>
      <c r="J56" s="3431"/>
      <c r="K56" s="3432"/>
      <c r="L56" s="3432"/>
      <c r="M56" s="3433"/>
      <c r="N56" s="3431"/>
      <c r="O56" s="3432"/>
      <c r="P56" s="3432"/>
      <c r="Q56" s="3433"/>
      <c r="R56" s="3431"/>
      <c r="S56" s="3432"/>
      <c r="T56" s="3432"/>
      <c r="U56" s="3433"/>
      <c r="V56" s="3431"/>
      <c r="W56" s="3432"/>
      <c r="X56" s="3432"/>
      <c r="Y56" s="3433"/>
      <c r="Z56" s="3431"/>
      <c r="AA56" s="3432"/>
      <c r="AB56" s="3432"/>
      <c r="AC56" s="3433"/>
      <c r="AD56" s="3431"/>
      <c r="AE56" s="3432"/>
      <c r="AF56" s="3432"/>
      <c r="AG56" s="3433"/>
      <c r="AH56" s="3431"/>
      <c r="AI56" s="3432"/>
      <c r="AJ56" s="3432"/>
      <c r="AK56" s="3433"/>
      <c r="AL56" s="3431"/>
      <c r="AM56" s="3432"/>
      <c r="AN56" s="3432"/>
      <c r="AO56" s="3433"/>
      <c r="AP56" s="3431"/>
      <c r="AQ56" s="3432"/>
      <c r="AR56" s="3432"/>
      <c r="AS56" s="3433"/>
      <c r="AT56" s="3431"/>
      <c r="AU56" s="3432"/>
      <c r="AV56" s="3432"/>
      <c r="AW56" s="3433"/>
      <c r="AX56" s="3431"/>
      <c r="AY56" s="3432"/>
      <c r="AZ56" s="3432"/>
      <c r="BA56" s="3433"/>
    </row>
    <row r="57" spans="2:84" ht="14.25" thickBot="1">
      <c r="B57" s="3165"/>
      <c r="C57" s="3165"/>
      <c r="D57" s="3165"/>
      <c r="E57" s="3165"/>
      <c r="F57" s="3165"/>
      <c r="G57" s="3165"/>
      <c r="H57" s="3165"/>
      <c r="I57" s="3165"/>
      <c r="J57" s="3165"/>
      <c r="K57" s="3165"/>
      <c r="L57" s="3165"/>
      <c r="M57" s="3165"/>
      <c r="N57" s="3165"/>
      <c r="O57" s="3165"/>
      <c r="P57" s="3165"/>
      <c r="Q57" s="3165"/>
      <c r="R57" s="3165"/>
      <c r="S57" s="3165"/>
      <c r="T57" s="3165"/>
      <c r="U57" s="3165"/>
      <c r="V57" s="3165"/>
      <c r="W57" s="3165"/>
      <c r="X57" s="3165"/>
      <c r="Y57" s="3165"/>
      <c r="Z57" s="3165"/>
      <c r="AA57" s="3165"/>
      <c r="AB57" s="3165"/>
      <c r="AC57" s="3165"/>
      <c r="AD57" s="3165"/>
      <c r="AE57" s="3165"/>
      <c r="AF57" s="3165"/>
      <c r="AG57" s="3165"/>
      <c r="AH57" s="3165"/>
      <c r="AI57" s="3165"/>
      <c r="AJ57" s="3165"/>
      <c r="AK57" s="3165"/>
      <c r="AL57" s="3165"/>
      <c r="AM57" s="3165"/>
      <c r="AN57" s="3165"/>
      <c r="AO57" s="3165"/>
      <c r="AP57" s="3165"/>
      <c r="AQ57" s="3165"/>
      <c r="AR57" s="3165"/>
      <c r="AS57" s="3165"/>
      <c r="AT57" s="3165"/>
      <c r="AU57" s="3165"/>
      <c r="AV57" s="3165"/>
      <c r="AW57" s="3165"/>
      <c r="AX57" s="3165"/>
      <c r="AY57" s="3165"/>
      <c r="AZ57" s="3165"/>
      <c r="BA57" s="3165"/>
    </row>
    <row r="58" spans="2:84" ht="17.25" thickBot="1">
      <c r="B58" s="3167"/>
      <c r="C58" s="3167"/>
      <c r="D58" s="3167"/>
      <c r="E58" s="3167"/>
      <c r="F58" s="3167"/>
      <c r="G58" s="3167"/>
      <c r="H58" s="3167"/>
      <c r="I58" s="3167"/>
      <c r="J58" s="3167"/>
      <c r="K58" s="3167"/>
      <c r="L58" s="3167"/>
      <c r="M58" s="3167"/>
      <c r="N58" s="3167"/>
      <c r="O58" s="3167"/>
      <c r="P58" s="3167"/>
      <c r="Q58" s="3167"/>
      <c r="R58" s="3167"/>
      <c r="S58" s="3167"/>
      <c r="T58" s="3167"/>
      <c r="U58" s="3167"/>
      <c r="V58" s="3167"/>
      <c r="W58" s="3167"/>
      <c r="X58" s="3167"/>
      <c r="Y58" s="3167"/>
      <c r="Z58" s="3167"/>
      <c r="AA58" s="3167"/>
      <c r="AB58" s="3167"/>
      <c r="AC58" s="3167"/>
      <c r="AD58" s="3167"/>
      <c r="AE58" s="3167"/>
      <c r="AF58" s="3167"/>
      <c r="AG58" s="3167"/>
      <c r="AH58" s="3167"/>
      <c r="AI58" s="3167"/>
      <c r="AJ58" s="3167"/>
      <c r="AK58" s="3167"/>
      <c r="AL58" s="3167"/>
      <c r="AM58" s="3167"/>
      <c r="AN58" s="3167"/>
      <c r="AO58" s="3167"/>
      <c r="AP58" s="3167"/>
      <c r="AQ58" s="3167"/>
      <c r="AR58" s="3167"/>
      <c r="AS58" s="3167"/>
      <c r="AT58" s="3167"/>
      <c r="AU58" s="3167"/>
      <c r="AV58" s="3167"/>
      <c r="AW58" s="3167"/>
      <c r="AX58" s="3167"/>
      <c r="AY58" s="3167"/>
      <c r="AZ58" s="3167"/>
      <c r="BA58" s="3167"/>
    </row>
  </sheetData>
  <mergeCells count="21">
    <mergeCell ref="AP56:AS56"/>
    <mergeCell ref="AT56:AW56"/>
    <mergeCell ref="AX56:BA56"/>
    <mergeCell ref="R56:U56"/>
    <mergeCell ref="V56:Y56"/>
    <mergeCell ref="Z56:AC56"/>
    <mergeCell ref="AD56:AG56"/>
    <mergeCell ref="AH56:AK56"/>
    <mergeCell ref="AL56:AO56"/>
    <mergeCell ref="X52:AA52"/>
    <mergeCell ref="AB52:AE52"/>
    <mergeCell ref="B56:E56"/>
    <mergeCell ref="F56:I56"/>
    <mergeCell ref="J56:M56"/>
    <mergeCell ref="N56:Q56"/>
    <mergeCell ref="B52:C52"/>
    <mergeCell ref="D52:G52"/>
    <mergeCell ref="H52:K52"/>
    <mergeCell ref="L52:O52"/>
    <mergeCell ref="P52:S52"/>
    <mergeCell ref="T52:W5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184.86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389"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389"/>
      <c r="AC6" s="3402"/>
    </row>
    <row r="7" spans="1:29" s="102" customFormat="1" ht="15.75" thickBot="1">
      <c r="A7" s="352" t="s">
        <v>1679</v>
      </c>
      <c r="B7" s="353"/>
      <c r="C7" s="354">
        <f>'数据-取费表'!B2</f>
        <v>45168</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9"/>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7" t="s">
        <v>1691</v>
      </c>
      <c r="Q15" s="1262" t="str">
        <f t="shared" si="6"/>
        <v>商业繁华度</v>
      </c>
      <c r="R15" s="667" t="s">
        <v>14</v>
      </c>
      <c r="S15" s="668">
        <f t="shared" si="0"/>
        <v>100</v>
      </c>
      <c r="T15" s="667" t="s">
        <v>14</v>
      </c>
      <c r="U15" s="668">
        <f t="shared" si="1"/>
        <v>100</v>
      </c>
      <c r="V15" s="667" t="s">
        <v>14</v>
      </c>
      <c r="W15" s="668">
        <f t="shared" si="2"/>
        <v>100</v>
      </c>
      <c r="X15" s="1264"/>
      <c r="Y15" s="339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8"/>
      <c r="Q16" s="1262"/>
      <c r="R16" s="667"/>
      <c r="S16" s="668"/>
      <c r="T16" s="667"/>
      <c r="U16" s="668"/>
      <c r="V16" s="667"/>
      <c r="W16" s="668"/>
      <c r="X16" s="1264"/>
      <c r="Y16" s="339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8"/>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8"/>
      <c r="Q18" s="1262"/>
      <c r="R18" s="667"/>
      <c r="S18" s="668"/>
      <c r="T18" s="667"/>
      <c r="U18" s="668"/>
      <c r="V18" s="667"/>
      <c r="W18" s="668"/>
      <c r="X18" s="1264"/>
      <c r="Y18" s="339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8"/>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8"/>
      <c r="Q20" s="1262"/>
      <c r="R20" s="667"/>
      <c r="S20" s="668"/>
      <c r="T20" s="667"/>
      <c r="U20" s="668"/>
      <c r="V20" s="667"/>
      <c r="W20" s="668"/>
      <c r="X20" s="1264"/>
      <c r="Y20" s="3391"/>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8"/>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398"/>
      <c r="Q22" s="1262"/>
      <c r="R22" s="667"/>
      <c r="S22" s="668"/>
      <c r="T22" s="667"/>
      <c r="U22" s="668"/>
      <c r="V22" s="667"/>
      <c r="W22" s="668"/>
      <c r="X22" s="1264"/>
      <c r="Y22" s="339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8"/>
      <c r="Q23" s="1262" t="str">
        <f>B23</f>
        <v>自然及人文环境</v>
      </c>
      <c r="R23" s="667" t="s">
        <v>14</v>
      </c>
      <c r="S23" s="668">
        <f>F23</f>
        <v>100</v>
      </c>
      <c r="T23" s="667" t="s">
        <v>14</v>
      </c>
      <c r="U23" s="668">
        <f>H23</f>
        <v>100</v>
      </c>
      <c r="V23" s="667" t="s">
        <v>14</v>
      </c>
      <c r="W23" s="668">
        <f>J23</f>
        <v>100</v>
      </c>
      <c r="X23" s="1264"/>
      <c r="Y23" s="339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8"/>
      <c r="Q24" s="1262"/>
      <c r="R24" s="667"/>
      <c r="S24" s="668"/>
      <c r="T24" s="667"/>
      <c r="U24" s="668"/>
      <c r="V24" s="667"/>
      <c r="W24" s="668"/>
      <c r="X24" s="1264"/>
      <c r="Y24" s="339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8"/>
      <c r="Q25" s="1262" t="str">
        <f t="shared" ref="Q25:Q46" si="11">B25</f>
        <v>临街状况</v>
      </c>
      <c r="R25" s="667" t="s">
        <v>14</v>
      </c>
      <c r="S25" s="668">
        <f>F25</f>
        <v>100</v>
      </c>
      <c r="T25" s="667" t="s">
        <v>14</v>
      </c>
      <c r="U25" s="668">
        <f>H25</f>
        <v>100</v>
      </c>
      <c r="V25" s="667" t="s">
        <v>14</v>
      </c>
      <c r="W25" s="668">
        <f>J25</f>
        <v>100</v>
      </c>
      <c r="X25" s="1264"/>
      <c r="Y25" s="339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8"/>
      <c r="Q26" s="1262" t="str">
        <f t="shared" si="11"/>
        <v>平面位置/可视性</v>
      </c>
      <c r="R26" s="667" t="s">
        <v>14</v>
      </c>
      <c r="S26" s="668">
        <f>F26</f>
        <v>100</v>
      </c>
      <c r="T26" s="667" t="s">
        <v>14</v>
      </c>
      <c r="U26" s="668">
        <f>H26</f>
        <v>100</v>
      </c>
      <c r="V26" s="667" t="s">
        <v>14</v>
      </c>
      <c r="W26" s="668">
        <f>J26</f>
        <v>100</v>
      </c>
      <c r="X26" s="1264"/>
      <c r="Y26" s="339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8"/>
      <c r="Q27" s="530" t="str">
        <f t="shared" si="11"/>
        <v>人流量</v>
      </c>
      <c r="R27" s="664" t="s">
        <v>14</v>
      </c>
      <c r="S27" s="665">
        <f>F27</f>
        <v>100</v>
      </c>
      <c r="T27" s="664" t="s">
        <v>14</v>
      </c>
      <c r="U27" s="665">
        <f>H27</f>
        <v>100</v>
      </c>
      <c r="V27" s="664" t="s">
        <v>14</v>
      </c>
      <c r="W27" s="665">
        <f>J27</f>
        <v>100</v>
      </c>
      <c r="X27" s="666"/>
      <c r="Y27" s="339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8"/>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8"/>
      <c r="Q29" s="1262">
        <f t="shared" si="11"/>
        <v>111</v>
      </c>
      <c r="R29" s="667" t="s">
        <v>14</v>
      </c>
      <c r="S29" s="668">
        <f t="shared" si="12"/>
        <v>100</v>
      </c>
      <c r="T29" s="667" t="s">
        <v>14</v>
      </c>
      <c r="U29" s="668">
        <f t="shared" si="13"/>
        <v>100</v>
      </c>
      <c r="V29" s="667" t="s">
        <v>14</v>
      </c>
      <c r="W29" s="668">
        <f t="shared" si="14"/>
        <v>100</v>
      </c>
      <c r="X29" s="1264"/>
      <c r="Y29" s="339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39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39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2" t="s">
        <v>1696</v>
      </c>
      <c r="Q32" s="1262" t="str">
        <f t="shared" si="11"/>
        <v>商业类型</v>
      </c>
      <c r="R32" s="667" t="s">
        <v>14</v>
      </c>
      <c r="S32" s="668">
        <f t="shared" si="12"/>
        <v>100</v>
      </c>
      <c r="T32" s="667" t="s">
        <v>14</v>
      </c>
      <c r="U32" s="668">
        <f t="shared" si="13"/>
        <v>100</v>
      </c>
      <c r="V32" s="667" t="s">
        <v>14</v>
      </c>
      <c r="W32" s="668">
        <f t="shared" si="14"/>
        <v>100</v>
      </c>
      <c r="X32" s="1264"/>
      <c r="Y32" s="339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3"/>
      <c r="Q34" s="1262" t="str">
        <f t="shared" si="11"/>
        <v>建筑结构</v>
      </c>
      <c r="R34" s="667" t="s">
        <v>14</v>
      </c>
      <c r="S34" s="668">
        <f t="shared" si="12"/>
        <v>100</v>
      </c>
      <c r="T34" s="667" t="s">
        <v>14</v>
      </c>
      <c r="U34" s="668">
        <f t="shared" si="13"/>
        <v>100</v>
      </c>
      <c r="V34" s="667" t="s">
        <v>14</v>
      </c>
      <c r="W34" s="668">
        <f t="shared" si="14"/>
        <v>100</v>
      </c>
      <c r="X34" s="1264"/>
      <c r="Y34" s="339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3"/>
      <c r="Q35" s="1262" t="str">
        <f t="shared" si="11"/>
        <v>公共部分装修</v>
      </c>
      <c r="R35" s="667" t="s">
        <v>14</v>
      </c>
      <c r="S35" s="668">
        <f t="shared" si="12"/>
        <v>100</v>
      </c>
      <c r="T35" s="667" t="s">
        <v>14</v>
      </c>
      <c r="U35" s="668">
        <f t="shared" si="13"/>
        <v>100</v>
      </c>
      <c r="V35" s="667" t="s">
        <v>14</v>
      </c>
      <c r="W35" s="668">
        <f t="shared" si="14"/>
        <v>100</v>
      </c>
      <c r="X35" s="1264"/>
      <c r="Y35" s="339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3"/>
      <c r="Q36" s="1262" t="str">
        <f t="shared" si="11"/>
        <v>成新度</v>
      </c>
      <c r="R36" s="667" t="s">
        <v>14</v>
      </c>
      <c r="S36" s="668" t="e">
        <f t="shared" si="12"/>
        <v>#N/A</v>
      </c>
      <c r="T36" s="667" t="s">
        <v>14</v>
      </c>
      <c r="U36" s="668" t="e">
        <f t="shared" si="13"/>
        <v>#N/A</v>
      </c>
      <c r="V36" s="667" t="s">
        <v>14</v>
      </c>
      <c r="W36" s="668" t="e">
        <f t="shared" si="14"/>
        <v>#N/A</v>
      </c>
      <c r="X36" s="1264"/>
      <c r="Y36" s="339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3" t="s">
        <v>1696</v>
      </c>
      <c r="Q38" s="1262" t="str">
        <f t="shared" si="11"/>
        <v>业态</v>
      </c>
      <c r="R38" s="667" t="s">
        <v>14</v>
      </c>
      <c r="S38" s="668">
        <f t="shared" si="12"/>
        <v>100</v>
      </c>
      <c r="T38" s="667" t="s">
        <v>14</v>
      </c>
      <c r="U38" s="668">
        <f t="shared" si="13"/>
        <v>100</v>
      </c>
      <c r="V38" s="667" t="s">
        <v>14</v>
      </c>
      <c r="W38" s="668">
        <f t="shared" si="14"/>
        <v>100</v>
      </c>
      <c r="X38" s="1264"/>
      <c r="Y38" s="339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3"/>
      <c r="Q39" s="1262" t="str">
        <f t="shared" si="11"/>
        <v>层高</v>
      </c>
      <c r="R39" s="667" t="s">
        <v>14</v>
      </c>
      <c r="S39" s="668">
        <f t="shared" si="12"/>
        <v>100</v>
      </c>
      <c r="T39" s="667" t="s">
        <v>14</v>
      </c>
      <c r="U39" s="668">
        <f t="shared" si="13"/>
        <v>100</v>
      </c>
      <c r="V39" s="667" t="s">
        <v>14</v>
      </c>
      <c r="W39" s="668">
        <f t="shared" si="14"/>
        <v>100</v>
      </c>
      <c r="X39" s="1264"/>
      <c r="Y39" s="339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3"/>
      <c r="Q40" s="1262" t="str">
        <f t="shared" si="11"/>
        <v>单套建筑面积</v>
      </c>
      <c r="R40" s="667" t="s">
        <v>14</v>
      </c>
      <c r="S40" s="668">
        <f t="shared" si="12"/>
        <v>100</v>
      </c>
      <c r="T40" s="667" t="s">
        <v>14</v>
      </c>
      <c r="U40" s="668">
        <f t="shared" si="13"/>
        <v>100</v>
      </c>
      <c r="V40" s="667" t="s">
        <v>14</v>
      </c>
      <c r="W40" s="668">
        <f t="shared" si="14"/>
        <v>100</v>
      </c>
      <c r="X40" s="1264"/>
      <c r="Y40" s="339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3"/>
      <c r="Q42" s="1262" t="str">
        <f t="shared" si="11"/>
        <v>内部装修</v>
      </c>
      <c r="R42" s="667" t="s">
        <v>14</v>
      </c>
      <c r="S42" s="668">
        <f t="shared" si="12"/>
        <v>100</v>
      </c>
      <c r="T42" s="667" t="s">
        <v>14</v>
      </c>
      <c r="U42" s="668">
        <f t="shared" si="13"/>
        <v>100</v>
      </c>
      <c r="V42" s="667" t="s">
        <v>14</v>
      </c>
      <c r="W42" s="668">
        <f t="shared" si="14"/>
        <v>100</v>
      </c>
      <c r="X42" s="1264"/>
      <c r="Y42" s="339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3"/>
      <c r="Q43" s="1262" t="str">
        <f t="shared" si="11"/>
        <v>内部装修维护情况</v>
      </c>
      <c r="R43" s="667" t="s">
        <v>14</v>
      </c>
      <c r="S43" s="668">
        <f t="shared" si="12"/>
        <v>100</v>
      </c>
      <c r="T43" s="667" t="s">
        <v>14</v>
      </c>
      <c r="U43" s="668">
        <f t="shared" si="13"/>
        <v>100</v>
      </c>
      <c r="V43" s="667" t="s">
        <v>14</v>
      </c>
      <c r="W43" s="668">
        <f t="shared" si="14"/>
        <v>100</v>
      </c>
      <c r="X43" s="1264"/>
      <c r="Y43" s="3395"/>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3"/>
      <c r="Q45" s="1262">
        <f t="shared" si="11"/>
        <v>111</v>
      </c>
      <c r="R45" s="667" t="s">
        <v>14</v>
      </c>
      <c r="S45" s="668">
        <f t="shared" si="12"/>
        <v>100</v>
      </c>
      <c r="T45" s="667" t="s">
        <v>14</v>
      </c>
      <c r="U45" s="668">
        <f t="shared" si="13"/>
        <v>100</v>
      </c>
      <c r="V45" s="667" t="s">
        <v>14</v>
      </c>
      <c r="W45" s="668">
        <f t="shared" si="14"/>
        <v>100</v>
      </c>
      <c r="X45" s="1264"/>
      <c r="Y45" s="339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4"/>
      <c r="Q46" s="1262">
        <f t="shared" si="11"/>
        <v>111</v>
      </c>
      <c r="R46" s="667" t="s">
        <v>14</v>
      </c>
      <c r="S46" s="668">
        <f t="shared" si="12"/>
        <v>100</v>
      </c>
      <c r="T46" s="667" t="s">
        <v>14</v>
      </c>
      <c r="U46" s="668">
        <f t="shared" si="13"/>
        <v>100</v>
      </c>
      <c r="V46" s="667" t="s">
        <v>14</v>
      </c>
      <c r="W46" s="668">
        <f t="shared" si="14"/>
        <v>100</v>
      </c>
      <c r="X46" s="1264"/>
      <c r="Y46" s="3396"/>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2023-8</v>
      </c>
      <c r="D58" s="1103">
        <f>EDATE(C58,-1)</f>
        <v>45108</v>
      </c>
      <c r="E58" s="1103">
        <f t="shared" ref="E58:N58" si="16">EDATE(D58,-1)</f>
        <v>45078</v>
      </c>
      <c r="F58" s="1103">
        <f t="shared" si="16"/>
        <v>45047</v>
      </c>
      <c r="G58" s="1103">
        <f t="shared" si="16"/>
        <v>45017</v>
      </c>
      <c r="H58" s="1103">
        <f t="shared" si="16"/>
        <v>44986</v>
      </c>
      <c r="I58" s="1103">
        <f t="shared" si="16"/>
        <v>44958</v>
      </c>
      <c r="J58" s="1103">
        <f t="shared" si="16"/>
        <v>44927</v>
      </c>
      <c r="K58" s="1103">
        <f t="shared" si="16"/>
        <v>44896</v>
      </c>
      <c r="L58" s="1103">
        <f t="shared" si="16"/>
        <v>44866</v>
      </c>
      <c r="M58" s="1103">
        <f t="shared" si="16"/>
        <v>44835</v>
      </c>
      <c r="N58" s="1103">
        <f t="shared" si="16"/>
        <v>44805</v>
      </c>
      <c r="O58" s="1103">
        <f>EDATE(N58,-1)</f>
        <v>44774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2023年8月30日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40" t="s">
        <v>1775</v>
      </c>
      <c r="Q4" s="3441"/>
      <c r="R4" s="3444" t="s">
        <v>1771</v>
      </c>
      <c r="S4" s="3445"/>
      <c r="T4" s="3444" t="s">
        <v>1772</v>
      </c>
      <c r="U4" s="3445"/>
      <c r="V4" s="3446" t="s">
        <v>1773</v>
      </c>
      <c r="W4" s="3446"/>
      <c r="X4" s="1808"/>
      <c r="Y4" s="3444" t="s">
        <v>1775</v>
      </c>
      <c r="Z4" s="3445"/>
      <c r="AA4" s="3448" t="s">
        <v>1771</v>
      </c>
      <c r="AB4" s="3448" t="s">
        <v>1772</v>
      </c>
      <c r="AC4" s="3437" t="s">
        <v>1773</v>
      </c>
    </row>
    <row r="5" spans="1:29" ht="15">
      <c r="A5" s="348"/>
      <c r="B5" s="349"/>
      <c r="C5" s="3421" t="s">
        <v>1673</v>
      </c>
      <c r="D5" s="3422"/>
      <c r="E5" s="3428" t="s">
        <v>1674</v>
      </c>
      <c r="F5" s="3429"/>
      <c r="G5" s="3421" t="s">
        <v>1675</v>
      </c>
      <c r="H5" s="3422"/>
      <c r="I5" s="3421" t="s">
        <v>1676</v>
      </c>
      <c r="J5" s="3422"/>
      <c r="K5" s="537"/>
      <c r="L5" s="2486"/>
      <c r="M5" s="2487"/>
      <c r="N5" s="2487"/>
      <c r="O5" s="2487"/>
      <c r="P5" s="3442"/>
      <c r="Q5" s="3410"/>
      <c r="R5" s="3415"/>
      <c r="S5" s="3416"/>
      <c r="T5" s="3415"/>
      <c r="U5" s="3416"/>
      <c r="V5" s="3389"/>
      <c r="W5" s="3389"/>
      <c r="X5" s="1264"/>
      <c r="Y5" s="3415"/>
      <c r="Z5" s="3416"/>
      <c r="AA5" s="3401"/>
      <c r="AB5" s="3401"/>
      <c r="AC5" s="3438"/>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43"/>
      <c r="Q6" s="3412"/>
      <c r="R6" s="3415"/>
      <c r="S6" s="3416"/>
      <c r="T6" s="3417"/>
      <c r="U6" s="3418"/>
      <c r="V6" s="3389"/>
      <c r="W6" s="3389"/>
      <c r="X6" s="1264"/>
      <c r="Y6" s="3417"/>
      <c r="Z6" s="3418"/>
      <c r="AA6" s="3402"/>
      <c r="AB6" s="3402"/>
      <c r="AC6" s="3439"/>
    </row>
    <row r="7" spans="1:29" s="102" customFormat="1" ht="15.75" thickBot="1">
      <c r="A7" s="352" t="s">
        <v>1679</v>
      </c>
      <c r="B7" s="353"/>
      <c r="C7" s="354">
        <f>'数据-取费表'!B2</f>
        <v>45168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7"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7"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7" t="s">
        <v>1691</v>
      </c>
      <c r="Q15" s="1262" t="str">
        <f t="shared" si="6"/>
        <v>办公集聚程度</v>
      </c>
      <c r="R15" s="667" t="s">
        <v>14</v>
      </c>
      <c r="S15" s="668">
        <f t="shared" si="0"/>
        <v>100</v>
      </c>
      <c r="T15" s="667" t="s">
        <v>14</v>
      </c>
      <c r="U15" s="668">
        <f t="shared" si="1"/>
        <v>100</v>
      </c>
      <c r="V15" s="667" t="s">
        <v>14</v>
      </c>
      <c r="W15" s="668">
        <f t="shared" si="2"/>
        <v>100</v>
      </c>
      <c r="X15" s="1264"/>
      <c r="Y15" s="339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98"/>
      <c r="Q16" s="1262"/>
      <c r="R16" s="667"/>
      <c r="S16" s="668"/>
      <c r="T16" s="667"/>
      <c r="U16" s="668"/>
      <c r="V16" s="667"/>
      <c r="W16" s="668"/>
      <c r="X16" s="1264"/>
      <c r="Y16" s="3391"/>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8"/>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8"/>
      <c r="Q18" s="1262"/>
      <c r="R18" s="667"/>
      <c r="S18" s="668"/>
      <c r="T18" s="667"/>
      <c r="U18" s="668"/>
      <c r="V18" s="667"/>
      <c r="W18" s="668"/>
      <c r="X18" s="1264"/>
      <c r="Y18" s="3391"/>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8"/>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8"/>
      <c r="Q20" s="1262"/>
      <c r="R20" s="667"/>
      <c r="S20" s="668"/>
      <c r="T20" s="667"/>
      <c r="U20" s="668"/>
      <c r="V20" s="667"/>
      <c r="W20" s="668"/>
      <c r="X20" s="1264"/>
      <c r="Y20" s="339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8"/>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98"/>
      <c r="Q22" s="1262"/>
      <c r="R22" s="667"/>
      <c r="S22" s="668"/>
      <c r="T22" s="667"/>
      <c r="U22" s="668"/>
      <c r="V22" s="667"/>
      <c r="W22" s="668"/>
      <c r="X22" s="1264"/>
      <c r="Y22" s="3391"/>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8"/>
      <c r="Q23" s="1262" t="str">
        <f>B23</f>
        <v>环境质量</v>
      </c>
      <c r="R23" s="667" t="s">
        <v>14</v>
      </c>
      <c r="S23" s="668">
        <f>F23</f>
        <v>100</v>
      </c>
      <c r="T23" s="667" t="s">
        <v>14</v>
      </c>
      <c r="U23" s="668">
        <f>H23</f>
        <v>100</v>
      </c>
      <c r="V23" s="667" t="s">
        <v>14</v>
      </c>
      <c r="W23" s="668">
        <f>J23</f>
        <v>100</v>
      </c>
      <c r="X23" s="1264"/>
      <c r="Y23" s="339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98"/>
      <c r="Q24" s="1262"/>
      <c r="R24" s="667"/>
      <c r="S24" s="668"/>
      <c r="T24" s="667"/>
      <c r="U24" s="668"/>
      <c r="V24" s="667"/>
      <c r="W24" s="668"/>
      <c r="X24" s="1264"/>
      <c r="Y24" s="339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8"/>
      <c r="Q25" s="1262" t="str">
        <f>B25</f>
        <v>毗邻道路的类型与等级</v>
      </c>
      <c r="R25" s="667" t="s">
        <v>14</v>
      </c>
      <c r="S25" s="668">
        <f>F25</f>
        <v>100</v>
      </c>
      <c r="T25" s="667" t="s">
        <v>14</v>
      </c>
      <c r="U25" s="668">
        <f>H25</f>
        <v>100</v>
      </c>
      <c r="V25" s="667" t="s">
        <v>14</v>
      </c>
      <c r="W25" s="668">
        <f>J25</f>
        <v>100</v>
      </c>
      <c r="X25" s="1264"/>
      <c r="Y25" s="339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98"/>
      <c r="Q26" s="1262"/>
      <c r="R26" s="667"/>
      <c r="S26" s="668"/>
      <c r="T26" s="667"/>
      <c r="U26" s="668"/>
      <c r="V26" s="667"/>
      <c r="W26" s="668"/>
      <c r="X26" s="1264"/>
      <c r="Y26" s="339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8"/>
      <c r="Q27" s="1262" t="str">
        <f t="shared" ref="Q27:Q47" si="11">B27</f>
        <v>楼层</v>
      </c>
      <c r="R27" s="667" t="s">
        <v>14</v>
      </c>
      <c r="S27" s="668">
        <f>F27</f>
        <v>100</v>
      </c>
      <c r="T27" s="667" t="s">
        <v>14</v>
      </c>
      <c r="U27" s="668">
        <f>H27</f>
        <v>100</v>
      </c>
      <c r="V27" s="667" t="s">
        <v>14</v>
      </c>
      <c r="W27" s="668">
        <f>J27</f>
        <v>100</v>
      </c>
      <c r="X27" s="1264"/>
      <c r="Y27" s="339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8"/>
      <c r="Q28" s="530" t="str">
        <f t="shared" si="11"/>
        <v>朝向</v>
      </c>
      <c r="R28" s="664" t="s">
        <v>14</v>
      </c>
      <c r="S28" s="665">
        <f>F28</f>
        <v>100</v>
      </c>
      <c r="T28" s="664" t="s">
        <v>14</v>
      </c>
      <c r="U28" s="665">
        <f>H28</f>
        <v>100</v>
      </c>
      <c r="V28" s="664" t="s">
        <v>14</v>
      </c>
      <c r="W28" s="665">
        <f>J28</f>
        <v>100</v>
      </c>
      <c r="X28" s="666"/>
      <c r="Y28" s="3391"/>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8"/>
      <c r="Q29" s="1262">
        <f t="shared" si="11"/>
        <v>111</v>
      </c>
      <c r="R29" s="667" t="s">
        <v>14</v>
      </c>
      <c r="S29" s="668">
        <f t="shared" ref="S29:S47" si="12">F29</f>
        <v>100</v>
      </c>
      <c r="T29" s="667" t="s">
        <v>14</v>
      </c>
      <c r="U29" s="668">
        <f t="shared" ref="U29:U47" si="13">H29</f>
        <v>100</v>
      </c>
      <c r="V29" s="667" t="s">
        <v>14</v>
      </c>
      <c r="W29" s="668">
        <f t="shared" ref="W29:W47" si="14">J29</f>
        <v>100</v>
      </c>
      <c r="X29" s="1264"/>
      <c r="Y29" s="3391"/>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8"/>
      <c r="Q30" s="1262">
        <f t="shared" si="11"/>
        <v>111</v>
      </c>
      <c r="R30" s="667" t="s">
        <v>14</v>
      </c>
      <c r="S30" s="668">
        <f t="shared" si="12"/>
        <v>100</v>
      </c>
      <c r="T30" s="667" t="s">
        <v>14</v>
      </c>
      <c r="U30" s="668">
        <f t="shared" si="13"/>
        <v>100</v>
      </c>
      <c r="V30" s="667" t="s">
        <v>14</v>
      </c>
      <c r="W30" s="668">
        <f t="shared" si="14"/>
        <v>100</v>
      </c>
      <c r="X30" s="1264"/>
      <c r="Y30" s="3391"/>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8"/>
      <c r="Q31" s="1262">
        <f t="shared" si="11"/>
        <v>111</v>
      </c>
      <c r="R31" s="667" t="s">
        <v>14</v>
      </c>
      <c r="S31" s="668">
        <f t="shared" si="12"/>
        <v>100</v>
      </c>
      <c r="T31" s="667" t="s">
        <v>14</v>
      </c>
      <c r="U31" s="668">
        <f t="shared" si="13"/>
        <v>100</v>
      </c>
      <c r="V31" s="667" t="s">
        <v>14</v>
      </c>
      <c r="W31" s="668">
        <f t="shared" si="14"/>
        <v>100</v>
      </c>
      <c r="X31" s="1264"/>
      <c r="Y31" s="339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8"/>
      <c r="Q32" s="1262">
        <f t="shared" si="11"/>
        <v>111</v>
      </c>
      <c r="R32" s="667" t="s">
        <v>14</v>
      </c>
      <c r="S32" s="668">
        <f t="shared" si="12"/>
        <v>100</v>
      </c>
      <c r="T32" s="667" t="s">
        <v>14</v>
      </c>
      <c r="U32" s="668">
        <f t="shared" si="13"/>
        <v>100</v>
      </c>
      <c r="V32" s="667" t="s">
        <v>14</v>
      </c>
      <c r="W32" s="668">
        <f t="shared" si="14"/>
        <v>100</v>
      </c>
      <c r="X32" s="1264"/>
      <c r="Y32" s="339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2" t="s">
        <v>1696</v>
      </c>
      <c r="Q33" s="1262" t="str">
        <f t="shared" si="11"/>
        <v>建筑类型</v>
      </c>
      <c r="R33" s="667" t="s">
        <v>14</v>
      </c>
      <c r="S33" s="668">
        <f t="shared" si="12"/>
        <v>100</v>
      </c>
      <c r="T33" s="667" t="s">
        <v>14</v>
      </c>
      <c r="U33" s="668">
        <f t="shared" si="13"/>
        <v>100</v>
      </c>
      <c r="V33" s="667" t="s">
        <v>14</v>
      </c>
      <c r="W33" s="668">
        <f t="shared" si="14"/>
        <v>100</v>
      </c>
      <c r="X33" s="1264"/>
      <c r="Y33" s="339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3"/>
      <c r="Q35" s="1262" t="str">
        <f t="shared" si="11"/>
        <v>建筑结构</v>
      </c>
      <c r="R35" s="667" t="s">
        <v>14</v>
      </c>
      <c r="S35" s="668">
        <f t="shared" si="12"/>
        <v>100</v>
      </c>
      <c r="T35" s="667" t="s">
        <v>14</v>
      </c>
      <c r="U35" s="668">
        <f t="shared" si="13"/>
        <v>100</v>
      </c>
      <c r="V35" s="667" t="s">
        <v>14</v>
      </c>
      <c r="W35" s="668">
        <f t="shared" si="14"/>
        <v>100</v>
      </c>
      <c r="X35" s="1264"/>
      <c r="Y35" s="339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3"/>
      <c r="Q36" s="1262" t="str">
        <f t="shared" si="11"/>
        <v>公共部分装修</v>
      </c>
      <c r="R36" s="667" t="s">
        <v>14</v>
      </c>
      <c r="S36" s="668">
        <f t="shared" si="12"/>
        <v>100</v>
      </c>
      <c r="T36" s="667" t="s">
        <v>14</v>
      </c>
      <c r="U36" s="668">
        <f t="shared" si="13"/>
        <v>100</v>
      </c>
      <c r="V36" s="667" t="s">
        <v>14</v>
      </c>
      <c r="W36" s="668">
        <f t="shared" si="14"/>
        <v>100</v>
      </c>
      <c r="X36" s="1264"/>
      <c r="Y36" s="339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3"/>
      <c r="Q37" s="1262" t="str">
        <f t="shared" si="11"/>
        <v>成新度</v>
      </c>
      <c r="R37" s="667" t="s">
        <v>14</v>
      </c>
      <c r="S37" s="668" t="e">
        <f t="shared" si="12"/>
        <v>#N/A</v>
      </c>
      <c r="T37" s="667" t="s">
        <v>14</v>
      </c>
      <c r="U37" s="668" t="e">
        <f t="shared" si="13"/>
        <v>#N/A</v>
      </c>
      <c r="V37" s="667" t="s">
        <v>14</v>
      </c>
      <c r="W37" s="668" t="e">
        <f t="shared" si="14"/>
        <v>#N/A</v>
      </c>
      <c r="X37" s="1264"/>
      <c r="Y37" s="339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3" t="s">
        <v>1696</v>
      </c>
      <c r="Q39" s="1262" t="str">
        <f t="shared" si="11"/>
        <v>物业管理</v>
      </c>
      <c r="R39" s="667" t="s">
        <v>14</v>
      </c>
      <c r="S39" s="668">
        <f t="shared" si="12"/>
        <v>100</v>
      </c>
      <c r="T39" s="667" t="s">
        <v>14</v>
      </c>
      <c r="U39" s="668">
        <f t="shared" si="13"/>
        <v>100</v>
      </c>
      <c r="V39" s="667" t="s">
        <v>14</v>
      </c>
      <c r="W39" s="668">
        <f t="shared" si="14"/>
        <v>100</v>
      </c>
      <c r="X39" s="1264"/>
      <c r="Y39" s="339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3"/>
      <c r="Q40" s="1262" t="str">
        <f t="shared" si="11"/>
        <v>市政基础设施</v>
      </c>
      <c r="R40" s="667" t="s">
        <v>14</v>
      </c>
      <c r="S40" s="668">
        <f t="shared" si="12"/>
        <v>100</v>
      </c>
      <c r="T40" s="667" t="s">
        <v>14</v>
      </c>
      <c r="U40" s="668">
        <f t="shared" si="13"/>
        <v>100</v>
      </c>
      <c r="V40" s="667" t="s">
        <v>14</v>
      </c>
      <c r="W40" s="668">
        <f t="shared" si="14"/>
        <v>100</v>
      </c>
      <c r="X40" s="1264"/>
      <c r="Y40" s="339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3"/>
      <c r="Q41" s="1262" t="str">
        <f t="shared" si="11"/>
        <v>层高</v>
      </c>
      <c r="R41" s="667" t="s">
        <v>14</v>
      </c>
      <c r="S41" s="668">
        <f t="shared" si="12"/>
        <v>100</v>
      </c>
      <c r="T41" s="667" t="s">
        <v>14</v>
      </c>
      <c r="U41" s="668">
        <f t="shared" si="13"/>
        <v>100</v>
      </c>
      <c r="V41" s="667" t="s">
        <v>14</v>
      </c>
      <c r="W41" s="668">
        <f t="shared" si="14"/>
        <v>100</v>
      </c>
      <c r="X41" s="1264"/>
      <c r="Y41" s="339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3"/>
      <c r="Q43" s="1262" t="str">
        <f t="shared" si="11"/>
        <v>内部装修</v>
      </c>
      <c r="R43" s="667" t="s">
        <v>14</v>
      </c>
      <c r="S43" s="668">
        <f t="shared" si="12"/>
        <v>100</v>
      </c>
      <c r="T43" s="667" t="s">
        <v>14</v>
      </c>
      <c r="U43" s="668">
        <f t="shared" si="13"/>
        <v>100</v>
      </c>
      <c r="V43" s="667" t="s">
        <v>14</v>
      </c>
      <c r="W43" s="668">
        <f t="shared" si="14"/>
        <v>100</v>
      </c>
      <c r="X43" s="1264"/>
      <c r="Y43" s="339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3"/>
      <c r="Q44" s="1262" t="str">
        <f t="shared" si="11"/>
        <v>内部装修维护情况</v>
      </c>
      <c r="R44" s="667" t="s">
        <v>14</v>
      </c>
      <c r="S44" s="668">
        <f t="shared" si="12"/>
        <v>100</v>
      </c>
      <c r="T44" s="667" t="s">
        <v>14</v>
      </c>
      <c r="U44" s="668">
        <f t="shared" si="13"/>
        <v>100</v>
      </c>
      <c r="V44" s="667" t="s">
        <v>14</v>
      </c>
      <c r="W44" s="668">
        <f t="shared" si="14"/>
        <v>100</v>
      </c>
      <c r="X44" s="1264"/>
      <c r="Y44" s="3395"/>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3"/>
      <c r="Q46" s="1262">
        <f t="shared" si="11"/>
        <v>111</v>
      </c>
      <c r="R46" s="667" t="s">
        <v>14</v>
      </c>
      <c r="S46" s="668">
        <f t="shared" si="12"/>
        <v>100</v>
      </c>
      <c r="T46" s="667" t="s">
        <v>14</v>
      </c>
      <c r="U46" s="668">
        <f t="shared" si="13"/>
        <v>100</v>
      </c>
      <c r="V46" s="667" t="s">
        <v>14</v>
      </c>
      <c r="W46" s="668">
        <f t="shared" si="14"/>
        <v>100</v>
      </c>
      <c r="X46" s="1264"/>
      <c r="Y46" s="339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4"/>
      <c r="Q47" s="1262">
        <f t="shared" si="11"/>
        <v>111</v>
      </c>
      <c r="R47" s="667" t="s">
        <v>14</v>
      </c>
      <c r="S47" s="668">
        <f t="shared" si="12"/>
        <v>100</v>
      </c>
      <c r="T47" s="667" t="s">
        <v>14</v>
      </c>
      <c r="U47" s="668">
        <f t="shared" si="13"/>
        <v>100</v>
      </c>
      <c r="V47" s="667" t="s">
        <v>14</v>
      </c>
      <c r="W47" s="668">
        <f t="shared" si="14"/>
        <v>100</v>
      </c>
      <c r="X47" s="1264"/>
      <c r="Y47" s="3396"/>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2023-8</v>
      </c>
      <c r="D59" s="1103">
        <f>EDATE(C59,-1)</f>
        <v>45108</v>
      </c>
      <c r="E59" s="1103">
        <f>EDATE(D59,-1)</f>
        <v>45078</v>
      </c>
      <c r="F59" s="1103">
        <f t="shared" ref="F59:O59" si="16">EDATE(E59,-1)</f>
        <v>45047</v>
      </c>
      <c r="G59" s="1103">
        <f t="shared" si="16"/>
        <v>45017</v>
      </c>
      <c r="H59" s="1103">
        <f t="shared" si="16"/>
        <v>44986</v>
      </c>
      <c r="I59" s="1103">
        <f t="shared" si="16"/>
        <v>44958</v>
      </c>
      <c r="J59" s="1103">
        <f t="shared" si="16"/>
        <v>44927</v>
      </c>
      <c r="K59" s="1103">
        <f t="shared" si="16"/>
        <v>44896</v>
      </c>
      <c r="L59" s="1103">
        <f t="shared" si="16"/>
        <v>44866</v>
      </c>
      <c r="M59" s="1103">
        <f t="shared" si="16"/>
        <v>44835</v>
      </c>
      <c r="N59" s="1103">
        <f t="shared" si="16"/>
        <v>44805</v>
      </c>
      <c r="O59" s="1103">
        <f t="shared" si="16"/>
        <v>44774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860"/>
      <c r="M5" s="861"/>
      <c r="N5" s="861"/>
      <c r="O5" s="861"/>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2" t="str">
        <f t="shared" si="6"/>
        <v>产业集聚程度</v>
      </c>
      <c r="R15" s="667" t="s">
        <v>14</v>
      </c>
      <c r="S15" s="668">
        <f t="shared" si="0"/>
        <v>100</v>
      </c>
      <c r="T15" s="667" t="s">
        <v>14</v>
      </c>
      <c r="U15" s="668">
        <f t="shared" si="1"/>
        <v>100</v>
      </c>
      <c r="V15" s="667" t="s">
        <v>14</v>
      </c>
      <c r="W15" s="668">
        <f t="shared" si="2"/>
        <v>100</v>
      </c>
      <c r="X15" s="1264"/>
      <c r="Y15" s="339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1"/>
      <c r="Q16" s="1262"/>
      <c r="R16" s="667"/>
      <c r="S16" s="668"/>
      <c r="T16" s="667"/>
      <c r="U16" s="668"/>
      <c r="V16" s="667"/>
      <c r="W16" s="668"/>
      <c r="X16" s="1264"/>
      <c r="Y16" s="339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1"/>
      <c r="Q18" s="1262"/>
      <c r="R18" s="667"/>
      <c r="S18" s="668"/>
      <c r="T18" s="667"/>
      <c r="U18" s="668"/>
      <c r="V18" s="667"/>
      <c r="W18" s="668"/>
      <c r="X18" s="1264"/>
      <c r="Y18" s="339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2" t="str">
        <f>B19</f>
        <v>公共配套设施</v>
      </c>
      <c r="R19" s="667" t="s">
        <v>14</v>
      </c>
      <c r="S19" s="668">
        <f>F19</f>
        <v>100</v>
      </c>
      <c r="T19" s="667" t="s">
        <v>14</v>
      </c>
      <c r="U19" s="668">
        <f>H19</f>
        <v>100</v>
      </c>
      <c r="V19" s="667" t="s">
        <v>14</v>
      </c>
      <c r="W19" s="668">
        <f>J19</f>
        <v>100</v>
      </c>
      <c r="X19" s="1264"/>
      <c r="Y19" s="339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1"/>
      <c r="Q20" s="1262"/>
      <c r="R20" s="667"/>
      <c r="S20" s="668"/>
      <c r="T20" s="667"/>
      <c r="U20" s="668"/>
      <c r="V20" s="667"/>
      <c r="W20" s="668"/>
      <c r="X20" s="1264"/>
      <c r="Y20" s="339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2" t="str">
        <f>B21</f>
        <v>基础设施水平</v>
      </c>
      <c r="R21" s="667" t="s">
        <v>14</v>
      </c>
      <c r="S21" s="668">
        <f>F21</f>
        <v>100</v>
      </c>
      <c r="T21" s="667" t="s">
        <v>14</v>
      </c>
      <c r="U21" s="668">
        <f>H21</f>
        <v>100</v>
      </c>
      <c r="V21" s="667" t="s">
        <v>14</v>
      </c>
      <c r="W21" s="668">
        <f>J21</f>
        <v>100</v>
      </c>
      <c r="X21" s="1264"/>
      <c r="Y21" s="339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1"/>
      <c r="Q22" s="1262"/>
      <c r="R22" s="667"/>
      <c r="S22" s="668"/>
      <c r="T22" s="667"/>
      <c r="U22" s="668"/>
      <c r="V22" s="667"/>
      <c r="W22" s="668"/>
      <c r="X22" s="1264"/>
      <c r="Y22" s="339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2" t="str">
        <f>B23</f>
        <v>环境质量</v>
      </c>
      <c r="R23" s="667" t="s">
        <v>14</v>
      </c>
      <c r="S23" s="668">
        <f>F23</f>
        <v>100</v>
      </c>
      <c r="T23" s="667" t="s">
        <v>14</v>
      </c>
      <c r="U23" s="668">
        <f>H23</f>
        <v>100</v>
      </c>
      <c r="V23" s="667" t="s">
        <v>14</v>
      </c>
      <c r="W23" s="668">
        <f>J23</f>
        <v>100</v>
      </c>
      <c r="X23" s="1264"/>
      <c r="Y23" s="339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1"/>
      <c r="Q24" s="1262"/>
      <c r="R24" s="667"/>
      <c r="S24" s="668"/>
      <c r="T24" s="667"/>
      <c r="U24" s="668"/>
      <c r="V24" s="667"/>
      <c r="W24" s="668"/>
      <c r="X24" s="1264"/>
      <c r="Y24" s="339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2">
        <f>B25</f>
        <v>111</v>
      </c>
      <c r="R25" s="667" t="s">
        <v>14</v>
      </c>
      <c r="S25" s="668">
        <f>F25</f>
        <v>100</v>
      </c>
      <c r="T25" s="667" t="s">
        <v>14</v>
      </c>
      <c r="U25" s="668">
        <f>H25</f>
        <v>100</v>
      </c>
      <c r="V25" s="667" t="s">
        <v>14</v>
      </c>
      <c r="W25" s="668">
        <f>J25</f>
        <v>100</v>
      </c>
      <c r="X25" s="1264"/>
      <c r="Y25" s="339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2">
        <f t="shared" ref="Q26:Q40" si="11">B26</f>
        <v>111</v>
      </c>
      <c r="R26" s="667" t="s">
        <v>14</v>
      </c>
      <c r="S26" s="668">
        <f>F26</f>
        <v>100</v>
      </c>
      <c r="T26" s="667" t="s">
        <v>14</v>
      </c>
      <c r="U26" s="668">
        <f>H26</f>
        <v>100</v>
      </c>
      <c r="V26" s="667" t="s">
        <v>14</v>
      </c>
      <c r="W26" s="668">
        <f>J26</f>
        <v>100</v>
      </c>
      <c r="X26" s="1264"/>
      <c r="Y26" s="339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2">
        <f t="shared" si="11"/>
        <v>111</v>
      </c>
      <c r="R28" s="667" t="s">
        <v>14</v>
      </c>
      <c r="S28" s="668">
        <f t="shared" ref="S28:S40" si="12">F28</f>
        <v>100</v>
      </c>
      <c r="T28" s="667" t="s">
        <v>14</v>
      </c>
      <c r="U28" s="668">
        <f t="shared" ref="U28:U40" si="13">H28</f>
        <v>100</v>
      </c>
      <c r="V28" s="667" t="s">
        <v>14</v>
      </c>
      <c r="W28" s="668">
        <f t="shared" ref="W28:W40" si="14">J28</f>
        <v>100</v>
      </c>
      <c r="X28" s="1264"/>
      <c r="Y28" s="339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9" t="s">
        <v>1696</v>
      </c>
      <c r="Q29" s="1262" t="str">
        <f t="shared" si="11"/>
        <v>建筑类型</v>
      </c>
      <c r="R29" s="667" t="s">
        <v>14</v>
      </c>
      <c r="S29" s="668">
        <f t="shared" si="12"/>
        <v>100</v>
      </c>
      <c r="T29" s="667" t="s">
        <v>14</v>
      </c>
      <c r="U29" s="668">
        <f t="shared" si="13"/>
        <v>100</v>
      </c>
      <c r="V29" s="667" t="s">
        <v>14</v>
      </c>
      <c r="W29" s="668">
        <f t="shared" si="14"/>
        <v>100</v>
      </c>
      <c r="X29" s="1264"/>
      <c r="Y29" s="339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2" t="str">
        <f t="shared" si="11"/>
        <v>建筑结构</v>
      </c>
      <c r="R31" s="667" t="s">
        <v>14</v>
      </c>
      <c r="S31" s="668">
        <f t="shared" si="12"/>
        <v>100</v>
      </c>
      <c r="T31" s="667" t="s">
        <v>14</v>
      </c>
      <c r="U31" s="668">
        <f t="shared" si="13"/>
        <v>100</v>
      </c>
      <c r="V31" s="667" t="s">
        <v>14</v>
      </c>
      <c r="W31" s="668">
        <f t="shared" si="14"/>
        <v>100</v>
      </c>
      <c r="X31" s="1264"/>
      <c r="Y31" s="339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2" t="str">
        <f t="shared" si="11"/>
        <v>公共部分装修</v>
      </c>
      <c r="R32" s="667" t="s">
        <v>14</v>
      </c>
      <c r="S32" s="668">
        <f t="shared" si="12"/>
        <v>100</v>
      </c>
      <c r="T32" s="667" t="s">
        <v>14</v>
      </c>
      <c r="U32" s="668">
        <f t="shared" si="13"/>
        <v>100</v>
      </c>
      <c r="V32" s="667" t="s">
        <v>14</v>
      </c>
      <c r="W32" s="668">
        <f t="shared" si="14"/>
        <v>100</v>
      </c>
      <c r="X32" s="1264"/>
      <c r="Y32" s="339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2" t="str">
        <f t="shared" si="11"/>
        <v>成新度</v>
      </c>
      <c r="R33" s="667" t="s">
        <v>14</v>
      </c>
      <c r="S33" s="668" t="e">
        <f t="shared" si="12"/>
        <v>#N/A</v>
      </c>
      <c r="T33" s="667" t="s">
        <v>14</v>
      </c>
      <c r="U33" s="668" t="e">
        <f t="shared" si="13"/>
        <v>#N/A</v>
      </c>
      <c r="V33" s="667" t="s">
        <v>14</v>
      </c>
      <c r="W33" s="668" t="e">
        <f t="shared" si="14"/>
        <v>#N/A</v>
      </c>
      <c r="X33" s="1264"/>
      <c r="Y33" s="339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2" t="str">
        <f t="shared" si="11"/>
        <v>市政基础设施</v>
      </c>
      <c r="R35" s="667" t="s">
        <v>14</v>
      </c>
      <c r="S35" s="668">
        <f t="shared" si="12"/>
        <v>100</v>
      </c>
      <c r="T35" s="667" t="s">
        <v>14</v>
      </c>
      <c r="U35" s="668">
        <f t="shared" si="13"/>
        <v>100</v>
      </c>
      <c r="V35" s="667" t="s">
        <v>14</v>
      </c>
      <c r="W35" s="668">
        <f t="shared" si="14"/>
        <v>100</v>
      </c>
      <c r="X35" s="1264"/>
      <c r="Y35" s="339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2" t="str">
        <f t="shared" si="11"/>
        <v>内部装修</v>
      </c>
      <c r="R36" s="667" t="s">
        <v>14</v>
      </c>
      <c r="S36" s="668">
        <f t="shared" si="12"/>
        <v>100</v>
      </c>
      <c r="T36" s="667" t="s">
        <v>14</v>
      </c>
      <c r="U36" s="668">
        <f t="shared" si="13"/>
        <v>100</v>
      </c>
      <c r="V36" s="667" t="s">
        <v>14</v>
      </c>
      <c r="W36" s="668">
        <f t="shared" si="14"/>
        <v>100</v>
      </c>
      <c r="X36" s="1264"/>
      <c r="Y36" s="339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2" t="str">
        <f t="shared" si="11"/>
        <v>内部装修状况</v>
      </c>
      <c r="R37" s="667" t="s">
        <v>14</v>
      </c>
      <c r="S37" s="668">
        <f t="shared" si="12"/>
        <v>100</v>
      </c>
      <c r="T37" s="667" t="s">
        <v>14</v>
      </c>
      <c r="U37" s="668">
        <f t="shared" si="13"/>
        <v>100</v>
      </c>
      <c r="V37" s="667" t="s">
        <v>14</v>
      </c>
      <c r="W37" s="668">
        <f t="shared" si="14"/>
        <v>100</v>
      </c>
      <c r="X37" s="1264"/>
      <c r="Y37" s="3395"/>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2">
        <f t="shared" si="11"/>
        <v>111</v>
      </c>
      <c r="R39" s="667" t="s">
        <v>14</v>
      </c>
      <c r="S39" s="668">
        <f t="shared" si="12"/>
        <v>100</v>
      </c>
      <c r="T39" s="667" t="s">
        <v>14</v>
      </c>
      <c r="U39" s="668">
        <f t="shared" si="13"/>
        <v>100</v>
      </c>
      <c r="V39" s="667" t="s">
        <v>14</v>
      </c>
      <c r="W39" s="668">
        <f t="shared" si="14"/>
        <v>100</v>
      </c>
      <c r="X39" s="1264"/>
      <c r="Y39" s="339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2">
        <f t="shared" si="11"/>
        <v>111</v>
      </c>
      <c r="R40" s="667" t="s">
        <v>14</v>
      </c>
      <c r="S40" s="668">
        <f t="shared" si="12"/>
        <v>100</v>
      </c>
      <c r="T40" s="667" t="s">
        <v>14</v>
      </c>
      <c r="U40" s="668">
        <f t="shared" si="13"/>
        <v>100</v>
      </c>
      <c r="V40" s="667" t="s">
        <v>14</v>
      </c>
      <c r="W40" s="668">
        <f t="shared" si="14"/>
        <v>100</v>
      </c>
      <c r="X40" s="1264"/>
      <c r="Y40" s="3396"/>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2023-8</v>
      </c>
      <c r="D52" s="1103">
        <f>EDATE(C52,-1)</f>
        <v>45108</v>
      </c>
      <c r="E52" s="1103">
        <f t="shared" ref="E52:O52" si="16">EDATE(D52,-1)</f>
        <v>45078</v>
      </c>
      <c r="F52" s="1103">
        <f t="shared" si="16"/>
        <v>45047</v>
      </c>
      <c r="G52" s="1103">
        <f t="shared" si="16"/>
        <v>45017</v>
      </c>
      <c r="H52" s="1103">
        <f t="shared" si="16"/>
        <v>44986</v>
      </c>
      <c r="I52" s="1103">
        <f t="shared" si="16"/>
        <v>44958</v>
      </c>
      <c r="J52" s="1103">
        <f t="shared" si="16"/>
        <v>44927</v>
      </c>
      <c r="K52" s="1103">
        <f t="shared" si="16"/>
        <v>44896</v>
      </c>
      <c r="L52" s="1103">
        <f t="shared" si="16"/>
        <v>44866</v>
      </c>
      <c r="M52" s="1103">
        <f t="shared" si="16"/>
        <v>44835</v>
      </c>
      <c r="N52" s="1103">
        <f t="shared" si="16"/>
        <v>44805</v>
      </c>
      <c r="O52" s="1103">
        <f t="shared" si="16"/>
        <v>44774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0" t="s">
        <v>1691</v>
      </c>
      <c r="Q14" s="1262" t="str">
        <f t="shared" si="6"/>
        <v>交通便捷度</v>
      </c>
      <c r="R14" s="667" t="s">
        <v>14</v>
      </c>
      <c r="S14" s="668">
        <f t="shared" si="0"/>
        <v>100</v>
      </c>
      <c r="T14" s="667" t="s">
        <v>14</v>
      </c>
      <c r="U14" s="668">
        <f t="shared" si="1"/>
        <v>100</v>
      </c>
      <c r="V14" s="667" t="s">
        <v>14</v>
      </c>
      <c r="W14" s="668">
        <f t="shared" si="2"/>
        <v>100</v>
      </c>
      <c r="X14" s="1264"/>
      <c r="Y14" s="339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91"/>
      <c r="Q15" s="1262"/>
      <c r="R15" s="667"/>
      <c r="S15" s="668"/>
      <c r="T15" s="667"/>
      <c r="U15" s="668"/>
      <c r="V15" s="667"/>
      <c r="W15" s="668"/>
      <c r="X15" s="1264"/>
      <c r="Y15" s="3391"/>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1"/>
      <c r="Q16" s="1262" t="str">
        <f>B16</f>
        <v>公共配套设施</v>
      </c>
      <c r="R16" s="667" t="s">
        <v>14</v>
      </c>
      <c r="S16" s="668">
        <f>F16</f>
        <v>100</v>
      </c>
      <c r="T16" s="667" t="s">
        <v>14</v>
      </c>
      <c r="U16" s="668">
        <f>H16</f>
        <v>100</v>
      </c>
      <c r="V16" s="667" t="s">
        <v>14</v>
      </c>
      <c r="W16" s="668">
        <f>J16</f>
        <v>100</v>
      </c>
      <c r="X16" s="1264"/>
      <c r="Y16" s="339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91"/>
      <c r="Q17" s="1262"/>
      <c r="R17" s="667"/>
      <c r="S17" s="668"/>
      <c r="T17" s="667"/>
      <c r="U17" s="668"/>
      <c r="V17" s="667"/>
      <c r="W17" s="668"/>
      <c r="X17" s="1264"/>
      <c r="Y17" s="3391"/>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1"/>
      <c r="Q18" s="1262" t="str">
        <f>B18</f>
        <v>基础设施水平</v>
      </c>
      <c r="R18" s="667" t="s">
        <v>14</v>
      </c>
      <c r="S18" s="668">
        <f>F18</f>
        <v>100</v>
      </c>
      <c r="T18" s="667" t="s">
        <v>14</v>
      </c>
      <c r="U18" s="668">
        <f>H18</f>
        <v>100</v>
      </c>
      <c r="V18" s="667" t="s">
        <v>14</v>
      </c>
      <c r="W18" s="668">
        <f>J18</f>
        <v>100</v>
      </c>
      <c r="X18" s="1264"/>
      <c r="Y18" s="339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91"/>
      <c r="Q19" s="1262"/>
      <c r="R19" s="667"/>
      <c r="S19" s="668"/>
      <c r="T19" s="667"/>
      <c r="U19" s="668"/>
      <c r="V19" s="667"/>
      <c r="W19" s="668"/>
      <c r="X19" s="1264"/>
      <c r="Y19" s="3391"/>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1"/>
      <c r="Q20" s="1262" t="str">
        <f>B20</f>
        <v>自然及人文环境</v>
      </c>
      <c r="R20" s="667" t="s">
        <v>14</v>
      </c>
      <c r="S20" s="668">
        <f>F20</f>
        <v>100</v>
      </c>
      <c r="T20" s="667" t="s">
        <v>14</v>
      </c>
      <c r="U20" s="668">
        <f>H20</f>
        <v>100</v>
      </c>
      <c r="V20" s="667" t="s">
        <v>14</v>
      </c>
      <c r="W20" s="668">
        <f>J20</f>
        <v>100</v>
      </c>
      <c r="X20" s="1264"/>
      <c r="Y20" s="339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91"/>
      <c r="Q21" s="1262"/>
      <c r="R21" s="667"/>
      <c r="S21" s="668"/>
      <c r="T21" s="667"/>
      <c r="U21" s="668"/>
      <c r="V21" s="667"/>
      <c r="W21" s="668"/>
      <c r="X21" s="1264"/>
      <c r="Y21" s="339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1"/>
      <c r="Q22" s="1262" t="str">
        <f>B22</f>
        <v>楼层</v>
      </c>
      <c r="R22" s="667" t="s">
        <v>14</v>
      </c>
      <c r="S22" s="668">
        <f>F22</f>
        <v>100</v>
      </c>
      <c r="T22" s="667" t="s">
        <v>14</v>
      </c>
      <c r="U22" s="668">
        <f>H22</f>
        <v>100</v>
      </c>
      <c r="V22" s="667" t="s">
        <v>14</v>
      </c>
      <c r="W22" s="668">
        <f>J22</f>
        <v>100</v>
      </c>
      <c r="X22" s="1264"/>
      <c r="Y22" s="339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1"/>
      <c r="Q23" s="1262">
        <f>B23</f>
        <v>111</v>
      </c>
      <c r="R23" s="667" t="s">
        <v>14</v>
      </c>
      <c r="S23" s="668">
        <f>F23</f>
        <v>100</v>
      </c>
      <c r="T23" s="667" t="s">
        <v>14</v>
      </c>
      <c r="U23" s="668">
        <f>H23</f>
        <v>100</v>
      </c>
      <c r="V23" s="667" t="s">
        <v>14</v>
      </c>
      <c r="W23" s="668">
        <f>J23</f>
        <v>100</v>
      </c>
      <c r="X23" s="1264"/>
      <c r="Y23" s="339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1"/>
      <c r="Q24" s="1262">
        <f t="shared" ref="Q24:Q36" si="11">B24</f>
        <v>111</v>
      </c>
      <c r="R24" s="667" t="s">
        <v>14</v>
      </c>
      <c r="S24" s="668">
        <f>F24</f>
        <v>100</v>
      </c>
      <c r="T24" s="667" t="s">
        <v>14</v>
      </c>
      <c r="U24" s="668">
        <f>H24</f>
        <v>100</v>
      </c>
      <c r="V24" s="667" t="s">
        <v>14</v>
      </c>
      <c r="W24" s="668">
        <f>J24</f>
        <v>100</v>
      </c>
      <c r="X24" s="1264"/>
      <c r="Y24" s="339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1"/>
      <c r="Q25" s="530">
        <f t="shared" si="11"/>
        <v>111</v>
      </c>
      <c r="R25" s="664" t="s">
        <v>14</v>
      </c>
      <c r="S25" s="665">
        <f>F25</f>
        <v>100</v>
      </c>
      <c r="T25" s="664" t="s">
        <v>14</v>
      </c>
      <c r="U25" s="665">
        <f>H25</f>
        <v>100</v>
      </c>
      <c r="V25" s="664" t="s">
        <v>14</v>
      </c>
      <c r="W25" s="665">
        <f>J25</f>
        <v>100</v>
      </c>
      <c r="X25" s="666"/>
      <c r="Y25" s="339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5"/>
      <c r="Q28" s="1262" t="str">
        <f t="shared" si="11"/>
        <v>公共部分装修</v>
      </c>
      <c r="R28" s="667" t="s">
        <v>14</v>
      </c>
      <c r="S28" s="668">
        <f t="shared" si="12"/>
        <v>100</v>
      </c>
      <c r="T28" s="667" t="s">
        <v>14</v>
      </c>
      <c r="U28" s="668">
        <f t="shared" si="13"/>
        <v>100</v>
      </c>
      <c r="V28" s="667" t="s">
        <v>14</v>
      </c>
      <c r="W28" s="668">
        <f t="shared" si="14"/>
        <v>100</v>
      </c>
      <c r="X28" s="1264"/>
      <c r="Y28" s="339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5"/>
      <c r="Q29" s="1262" t="str">
        <f t="shared" si="11"/>
        <v>成新率</v>
      </c>
      <c r="R29" s="667" t="s">
        <v>14</v>
      </c>
      <c r="S29" s="668" t="e">
        <f t="shared" si="12"/>
        <v>#N/A</v>
      </c>
      <c r="T29" s="667" t="s">
        <v>14</v>
      </c>
      <c r="U29" s="668" t="e">
        <f t="shared" si="13"/>
        <v>#N/A</v>
      </c>
      <c r="V29" s="667" t="s">
        <v>14</v>
      </c>
      <c r="W29" s="668" t="e">
        <f t="shared" si="14"/>
        <v>#N/A</v>
      </c>
      <c r="X29" s="1264"/>
      <c r="Y29" s="339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5"/>
      <c r="Q30" s="1262" t="str">
        <f t="shared" si="11"/>
        <v>物业等级</v>
      </c>
      <c r="R30" s="667" t="s">
        <v>14</v>
      </c>
      <c r="S30" s="668">
        <f t="shared" si="12"/>
        <v>100</v>
      </c>
      <c r="T30" s="667" t="s">
        <v>14</v>
      </c>
      <c r="U30" s="668">
        <f t="shared" si="13"/>
        <v>100</v>
      </c>
      <c r="V30" s="667" t="s">
        <v>14</v>
      </c>
      <c r="W30" s="668">
        <f t="shared" si="14"/>
        <v>100</v>
      </c>
      <c r="X30" s="1264"/>
      <c r="Y30" s="339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5" t="s">
        <v>1696</v>
      </c>
      <c r="Q32" s="1262" t="str">
        <f t="shared" si="11"/>
        <v>车位类型</v>
      </c>
      <c r="R32" s="667" t="s">
        <v>14</v>
      </c>
      <c r="S32" s="668">
        <f t="shared" si="12"/>
        <v>100</v>
      </c>
      <c r="T32" s="667" t="s">
        <v>14</v>
      </c>
      <c r="U32" s="668">
        <f t="shared" si="13"/>
        <v>100</v>
      </c>
      <c r="V32" s="667" t="s">
        <v>14</v>
      </c>
      <c r="W32" s="668">
        <f t="shared" si="14"/>
        <v>100</v>
      </c>
      <c r="X32" s="1264"/>
      <c r="Y32" s="339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5"/>
      <c r="Q33" s="1262" t="str">
        <f t="shared" si="11"/>
        <v>是否直接入户</v>
      </c>
      <c r="R33" s="667" t="s">
        <v>14</v>
      </c>
      <c r="S33" s="668">
        <f t="shared" si="12"/>
        <v>100</v>
      </c>
      <c r="T33" s="667" t="s">
        <v>14</v>
      </c>
      <c r="U33" s="668">
        <f t="shared" si="13"/>
        <v>100</v>
      </c>
      <c r="V33" s="667" t="s">
        <v>14</v>
      </c>
      <c r="W33" s="668">
        <f t="shared" si="14"/>
        <v>100</v>
      </c>
      <c r="X33" s="1264"/>
      <c r="Y33" s="339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5"/>
      <c r="Q34" s="1262">
        <f t="shared" si="11"/>
        <v>111</v>
      </c>
      <c r="R34" s="667" t="s">
        <v>14</v>
      </c>
      <c r="S34" s="668">
        <f t="shared" si="12"/>
        <v>100</v>
      </c>
      <c r="T34" s="667" t="s">
        <v>14</v>
      </c>
      <c r="U34" s="668">
        <f t="shared" si="13"/>
        <v>100</v>
      </c>
      <c r="V34" s="667" t="s">
        <v>14</v>
      </c>
      <c r="W34" s="668">
        <f t="shared" si="14"/>
        <v>100</v>
      </c>
      <c r="X34" s="1264"/>
      <c r="Y34" s="339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5"/>
      <c r="Q36" s="1262">
        <f t="shared" si="11"/>
        <v>111</v>
      </c>
      <c r="R36" s="667" t="s">
        <v>14</v>
      </c>
      <c r="S36" s="668">
        <f t="shared" si="12"/>
        <v>100</v>
      </c>
      <c r="T36" s="667" t="s">
        <v>14</v>
      </c>
      <c r="U36" s="668">
        <f t="shared" si="13"/>
        <v>100</v>
      </c>
      <c r="V36" s="667" t="s">
        <v>14</v>
      </c>
      <c r="W36" s="668">
        <f t="shared" si="14"/>
        <v>100</v>
      </c>
      <c r="X36" s="1264"/>
      <c r="Y36" s="3395"/>
      <c r="Z36" s="1263">
        <f t="shared" si="15"/>
        <v>111</v>
      </c>
      <c r="AA36" s="1263">
        <f t="shared" si="3"/>
        <v>1</v>
      </c>
      <c r="AB36" s="1263">
        <f t="shared" si="4"/>
        <v>1</v>
      </c>
      <c r="AC36" s="1263">
        <f t="shared" si="5"/>
        <v>1</v>
      </c>
    </row>
    <row r="37" spans="1:29" ht="15">
      <c r="A37" s="416" t="s">
        <v>1844</v>
      </c>
      <c r="B37" s="1820" t="s">
        <v>3357</v>
      </c>
      <c r="C37" s="1081" t="s">
        <v>0</v>
      </c>
      <c r="D37" s="418"/>
      <c r="E37" s="419"/>
      <c r="F37" s="420"/>
      <c r="G37" s="421"/>
      <c r="H37" s="422"/>
      <c r="I37" s="419"/>
      <c r="J37" s="422"/>
      <c r="K37" s="545"/>
      <c r="L37" s="2494"/>
      <c r="M37" s="2487"/>
      <c r="N37" s="2487"/>
      <c r="O37" s="2487"/>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5" t="str">
        <f>A39</f>
        <v>估价对象XX用房的比较价值（楼面单价，元/平方米）</v>
      </c>
      <c r="Q39" s="3386"/>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2023-8</v>
      </c>
      <c r="D48" s="1103">
        <f>EDATE(C48,-1)</f>
        <v>45108</v>
      </c>
      <c r="E48" s="1103">
        <f t="shared" ref="E48:O48" si="16">EDATE(D48,-1)</f>
        <v>45078</v>
      </c>
      <c r="F48" s="1103">
        <f t="shared" si="16"/>
        <v>45047</v>
      </c>
      <c r="G48" s="1103">
        <f t="shared" si="16"/>
        <v>45017</v>
      </c>
      <c r="H48" s="1103">
        <f t="shared" si="16"/>
        <v>44986</v>
      </c>
      <c r="I48" s="1103">
        <f t="shared" si="16"/>
        <v>44958</v>
      </c>
      <c r="J48" s="1103">
        <f t="shared" si="16"/>
        <v>44927</v>
      </c>
      <c r="K48" s="1103">
        <f t="shared" si="16"/>
        <v>44896</v>
      </c>
      <c r="L48" s="1103">
        <f t="shared" si="16"/>
        <v>44866</v>
      </c>
      <c r="M48" s="1103">
        <f t="shared" si="16"/>
        <v>44835</v>
      </c>
      <c r="N48" s="1103">
        <f t="shared" si="16"/>
        <v>44805</v>
      </c>
      <c r="O48" s="1103">
        <f t="shared" si="16"/>
        <v>44774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0" t="s">
        <v>1691</v>
      </c>
      <c r="Q14" s="1262" t="str">
        <f t="shared" si="6"/>
        <v>交通便捷度</v>
      </c>
      <c r="R14" s="667" t="s">
        <v>14</v>
      </c>
      <c r="S14" s="668">
        <f t="shared" si="0"/>
        <v>100</v>
      </c>
      <c r="T14" s="667" t="s">
        <v>14</v>
      </c>
      <c r="U14" s="668">
        <f t="shared" si="1"/>
        <v>100</v>
      </c>
      <c r="V14" s="667" t="s">
        <v>14</v>
      </c>
      <c r="W14" s="668">
        <f t="shared" si="2"/>
        <v>100</v>
      </c>
      <c r="X14" s="1264"/>
      <c r="Y14" s="339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1"/>
      <c r="Q15" s="1262"/>
      <c r="R15" s="667"/>
      <c r="S15" s="668"/>
      <c r="T15" s="667"/>
      <c r="U15" s="668"/>
      <c r="V15" s="667"/>
      <c r="W15" s="668"/>
      <c r="X15" s="1264"/>
      <c r="Y15" s="339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1"/>
      <c r="Q16" s="1262" t="str">
        <f>B16</f>
        <v>公共配套设施</v>
      </c>
      <c r="R16" s="667" t="s">
        <v>14</v>
      </c>
      <c r="S16" s="668">
        <f>F16</f>
        <v>100</v>
      </c>
      <c r="T16" s="667" t="s">
        <v>14</v>
      </c>
      <c r="U16" s="668">
        <f>H16</f>
        <v>100</v>
      </c>
      <c r="V16" s="667" t="s">
        <v>14</v>
      </c>
      <c r="W16" s="668">
        <f>J16</f>
        <v>100</v>
      </c>
      <c r="X16" s="1264"/>
      <c r="Y16" s="339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1"/>
      <c r="Q17" s="1262"/>
      <c r="R17" s="667"/>
      <c r="S17" s="668"/>
      <c r="T17" s="667"/>
      <c r="U17" s="668"/>
      <c r="V17" s="667"/>
      <c r="W17" s="668"/>
      <c r="X17" s="1264"/>
      <c r="Y17" s="3391"/>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1"/>
      <c r="Q18" s="1262" t="str">
        <f>B18</f>
        <v>基础设施水平</v>
      </c>
      <c r="R18" s="667" t="s">
        <v>14</v>
      </c>
      <c r="S18" s="668">
        <f>F18</f>
        <v>100</v>
      </c>
      <c r="T18" s="667" t="s">
        <v>14</v>
      </c>
      <c r="U18" s="668">
        <f>H18</f>
        <v>100</v>
      </c>
      <c r="V18" s="667" t="s">
        <v>14</v>
      </c>
      <c r="W18" s="668">
        <f>J18</f>
        <v>100</v>
      </c>
      <c r="X18" s="1264"/>
      <c r="Y18" s="339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91"/>
      <c r="Q19" s="1262"/>
      <c r="R19" s="667"/>
      <c r="S19" s="668"/>
      <c r="T19" s="667"/>
      <c r="U19" s="668"/>
      <c r="V19" s="667"/>
      <c r="W19" s="668"/>
      <c r="X19" s="1264"/>
      <c r="Y19" s="339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1"/>
      <c r="Q20" s="1262" t="str">
        <f>B20</f>
        <v>自然及人文环境</v>
      </c>
      <c r="R20" s="667" t="s">
        <v>14</v>
      </c>
      <c r="S20" s="668">
        <f>F20</f>
        <v>100</v>
      </c>
      <c r="T20" s="667" t="s">
        <v>14</v>
      </c>
      <c r="U20" s="668">
        <f>H20</f>
        <v>100</v>
      </c>
      <c r="V20" s="667" t="s">
        <v>14</v>
      </c>
      <c r="W20" s="668">
        <f>J20</f>
        <v>100</v>
      </c>
      <c r="X20" s="1264"/>
      <c r="Y20" s="339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1"/>
      <c r="Q21" s="1262"/>
      <c r="R21" s="667"/>
      <c r="S21" s="668"/>
      <c r="T21" s="667"/>
      <c r="U21" s="668"/>
      <c r="V21" s="667"/>
      <c r="W21" s="668"/>
      <c r="X21" s="1264"/>
      <c r="Y21" s="339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1"/>
      <c r="Q22" s="1262" t="str">
        <f>B22</f>
        <v>楼层</v>
      </c>
      <c r="R22" s="667" t="s">
        <v>14</v>
      </c>
      <c r="S22" s="668">
        <f>F22</f>
        <v>100</v>
      </c>
      <c r="T22" s="667" t="s">
        <v>14</v>
      </c>
      <c r="U22" s="668">
        <f>H22</f>
        <v>100</v>
      </c>
      <c r="V22" s="667" t="s">
        <v>14</v>
      </c>
      <c r="W22" s="668">
        <f>J22</f>
        <v>100</v>
      </c>
      <c r="X22" s="1264"/>
      <c r="Y22" s="339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1"/>
      <c r="Q23" s="1262">
        <f>B23</f>
        <v>111</v>
      </c>
      <c r="R23" s="667" t="s">
        <v>14</v>
      </c>
      <c r="S23" s="668">
        <f>F23</f>
        <v>100</v>
      </c>
      <c r="T23" s="667" t="s">
        <v>14</v>
      </c>
      <c r="U23" s="668">
        <f>H23</f>
        <v>100</v>
      </c>
      <c r="V23" s="667" t="s">
        <v>14</v>
      </c>
      <c r="W23" s="668">
        <f>J23</f>
        <v>100</v>
      </c>
      <c r="X23" s="1264"/>
      <c r="Y23" s="339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1"/>
      <c r="Q24" s="1262">
        <f t="shared" ref="Q24:Q34" si="11">B24</f>
        <v>111</v>
      </c>
      <c r="R24" s="667" t="s">
        <v>14</v>
      </c>
      <c r="S24" s="668">
        <f>F24</f>
        <v>100</v>
      </c>
      <c r="T24" s="667" t="s">
        <v>14</v>
      </c>
      <c r="U24" s="668">
        <f>H24</f>
        <v>100</v>
      </c>
      <c r="V24" s="667" t="s">
        <v>14</v>
      </c>
      <c r="W24" s="668">
        <f>J24</f>
        <v>100</v>
      </c>
      <c r="X24" s="1264"/>
      <c r="Y24" s="339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1"/>
      <c r="Q25" s="530">
        <f t="shared" si="11"/>
        <v>111</v>
      </c>
      <c r="R25" s="664" t="s">
        <v>14</v>
      </c>
      <c r="S25" s="665">
        <f>F25</f>
        <v>100</v>
      </c>
      <c r="T25" s="664" t="s">
        <v>14</v>
      </c>
      <c r="U25" s="665">
        <f>H25</f>
        <v>100</v>
      </c>
      <c r="V25" s="664" t="s">
        <v>14</v>
      </c>
      <c r="W25" s="665">
        <f>J25</f>
        <v>100</v>
      </c>
      <c r="X25" s="666"/>
      <c r="Y25" s="339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5"/>
      <c r="Q28" s="1262" t="str">
        <f t="shared" si="11"/>
        <v>物业等级</v>
      </c>
      <c r="R28" s="667" t="s">
        <v>14</v>
      </c>
      <c r="S28" s="668">
        <f t="shared" si="12"/>
        <v>100</v>
      </c>
      <c r="T28" s="667" t="s">
        <v>14</v>
      </c>
      <c r="U28" s="668">
        <f t="shared" si="13"/>
        <v>100</v>
      </c>
      <c r="V28" s="667" t="s">
        <v>14</v>
      </c>
      <c r="W28" s="668">
        <f t="shared" si="14"/>
        <v>100</v>
      </c>
      <c r="X28" s="1264"/>
      <c r="Y28" s="339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5"/>
      <c r="Q29" s="1262" t="str">
        <f t="shared" si="11"/>
        <v>有无电梯</v>
      </c>
      <c r="R29" s="667" t="s">
        <v>14</v>
      </c>
      <c r="S29" s="668">
        <f t="shared" si="12"/>
        <v>100</v>
      </c>
      <c r="T29" s="667" t="s">
        <v>14</v>
      </c>
      <c r="U29" s="668">
        <f t="shared" si="13"/>
        <v>100</v>
      </c>
      <c r="V29" s="667" t="s">
        <v>14</v>
      </c>
      <c r="W29" s="668">
        <f t="shared" si="14"/>
        <v>100</v>
      </c>
      <c r="X29" s="1264"/>
      <c r="Y29" s="339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5"/>
      <c r="Q30" s="1262" t="str">
        <f t="shared" si="11"/>
        <v>建筑面积</v>
      </c>
      <c r="R30" s="667" t="s">
        <v>14</v>
      </c>
      <c r="S30" s="668" t="e">
        <f t="shared" si="12"/>
        <v>#N/A</v>
      </c>
      <c r="T30" s="667" t="s">
        <v>14</v>
      </c>
      <c r="U30" s="668" t="e">
        <f t="shared" si="13"/>
        <v>#N/A</v>
      </c>
      <c r="V30" s="667" t="s">
        <v>14</v>
      </c>
      <c r="W30" s="668" t="e">
        <f t="shared" si="14"/>
        <v>#N/A</v>
      </c>
      <c r="X30" s="1264"/>
      <c r="Y30" s="339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5" t="s">
        <v>1696</v>
      </c>
      <c r="Q32" s="1262">
        <f t="shared" si="11"/>
        <v>111</v>
      </c>
      <c r="R32" s="667" t="s">
        <v>14</v>
      </c>
      <c r="S32" s="668">
        <f t="shared" si="12"/>
        <v>100</v>
      </c>
      <c r="T32" s="667" t="s">
        <v>14</v>
      </c>
      <c r="U32" s="668">
        <f t="shared" si="13"/>
        <v>100</v>
      </c>
      <c r="V32" s="667" t="s">
        <v>14</v>
      </c>
      <c r="W32" s="668">
        <f t="shared" si="14"/>
        <v>100</v>
      </c>
      <c r="X32" s="1264"/>
      <c r="Y32" s="339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5"/>
      <c r="Q33" s="1262">
        <f t="shared" si="11"/>
        <v>111</v>
      </c>
      <c r="R33" s="667" t="s">
        <v>14</v>
      </c>
      <c r="S33" s="668">
        <f t="shared" si="12"/>
        <v>100</v>
      </c>
      <c r="T33" s="667" t="s">
        <v>14</v>
      </c>
      <c r="U33" s="668">
        <f t="shared" si="13"/>
        <v>100</v>
      </c>
      <c r="V33" s="667" t="s">
        <v>14</v>
      </c>
      <c r="W33" s="668">
        <f t="shared" si="14"/>
        <v>100</v>
      </c>
      <c r="X33" s="1264"/>
      <c r="Y33" s="339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5"/>
      <c r="Q34" s="1262">
        <f t="shared" si="11"/>
        <v>111</v>
      </c>
      <c r="R34" s="667" t="s">
        <v>14</v>
      </c>
      <c r="S34" s="668">
        <f t="shared" si="12"/>
        <v>100</v>
      </c>
      <c r="T34" s="667" t="s">
        <v>14</v>
      </c>
      <c r="U34" s="668">
        <f t="shared" si="13"/>
        <v>100</v>
      </c>
      <c r="V34" s="667" t="s">
        <v>14</v>
      </c>
      <c r="W34" s="668">
        <f t="shared" si="14"/>
        <v>100</v>
      </c>
      <c r="X34" s="1264"/>
      <c r="Y34" s="3395"/>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5" t="str">
        <f>A37</f>
        <v>估价对象XX用房的比较价值（楼面单价，元/平方米）</v>
      </c>
      <c r="Q37" s="3386"/>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2023-8</v>
      </c>
      <c r="D46" s="1103">
        <f>EDATE(C46,-1)</f>
        <v>45108</v>
      </c>
      <c r="E46" s="1103">
        <f t="shared" ref="E46:O46" si="16">EDATE(D46,-1)</f>
        <v>45078</v>
      </c>
      <c r="F46" s="1103">
        <f t="shared" si="16"/>
        <v>45047</v>
      </c>
      <c r="G46" s="1103">
        <f t="shared" si="16"/>
        <v>45017</v>
      </c>
      <c r="H46" s="1103">
        <f t="shared" si="16"/>
        <v>44986</v>
      </c>
      <c r="I46" s="1103">
        <f t="shared" si="16"/>
        <v>44958</v>
      </c>
      <c r="J46" s="1103">
        <f t="shared" si="16"/>
        <v>44927</v>
      </c>
      <c r="K46" s="1103">
        <f t="shared" si="16"/>
        <v>44896</v>
      </c>
      <c r="L46" s="1103">
        <f t="shared" si="16"/>
        <v>44866</v>
      </c>
      <c r="M46" s="1103">
        <f t="shared" si="16"/>
        <v>44835</v>
      </c>
      <c r="N46" s="1103">
        <f t="shared" si="16"/>
        <v>44805</v>
      </c>
      <c r="O46" s="1103">
        <f t="shared" si="16"/>
        <v>44774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8"/>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0" t="s">
        <v>1691</v>
      </c>
      <c r="Q15" s="1262" t="str">
        <f t="shared" si="6"/>
        <v>居住社区成熟度</v>
      </c>
      <c r="R15" s="667" t="s">
        <v>14</v>
      </c>
      <c r="S15" s="668">
        <f t="shared" si="0"/>
        <v>100</v>
      </c>
      <c r="T15" s="667" t="s">
        <v>14</v>
      </c>
      <c r="U15" s="668">
        <f t="shared" si="1"/>
        <v>100</v>
      </c>
      <c r="V15" s="667" t="s">
        <v>14</v>
      </c>
      <c r="W15" s="668">
        <f t="shared" si="2"/>
        <v>100</v>
      </c>
      <c r="X15" s="1264"/>
      <c r="Y15" s="339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91"/>
      <c r="Q16" s="1262"/>
      <c r="R16" s="667"/>
      <c r="S16" s="668"/>
      <c r="T16" s="667"/>
      <c r="U16" s="668"/>
      <c r="V16" s="667"/>
      <c r="W16" s="668"/>
      <c r="X16" s="1264"/>
      <c r="Y16" s="339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1"/>
      <c r="Q17" s="1262" t="str">
        <f>B17</f>
        <v>商业繁华度</v>
      </c>
      <c r="R17" s="667" t="s">
        <v>14</v>
      </c>
      <c r="S17" s="668">
        <f>F17</f>
        <v>100</v>
      </c>
      <c r="T17" s="667" t="s">
        <v>14</v>
      </c>
      <c r="U17" s="668">
        <f>H17</f>
        <v>100</v>
      </c>
      <c r="V17" s="667" t="s">
        <v>14</v>
      </c>
      <c r="W17" s="668">
        <f>J17</f>
        <v>100</v>
      </c>
      <c r="X17" s="1264"/>
      <c r="Y17" s="339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91"/>
      <c r="Q18" s="1262"/>
      <c r="R18" s="667"/>
      <c r="S18" s="668"/>
      <c r="T18" s="667"/>
      <c r="U18" s="668"/>
      <c r="V18" s="667"/>
      <c r="W18" s="668"/>
      <c r="X18" s="1264"/>
      <c r="Y18" s="339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1"/>
      <c r="Q19" s="1262" t="str">
        <f>B19</f>
        <v>办公集聚程度</v>
      </c>
      <c r="R19" s="667" t="s">
        <v>14</v>
      </c>
      <c r="S19" s="668">
        <f>F19</f>
        <v>100</v>
      </c>
      <c r="T19" s="667" t="s">
        <v>14</v>
      </c>
      <c r="U19" s="668">
        <f>H19</f>
        <v>100</v>
      </c>
      <c r="V19" s="667" t="s">
        <v>14</v>
      </c>
      <c r="W19" s="668">
        <f>J19</f>
        <v>100</v>
      </c>
      <c r="X19" s="1264"/>
      <c r="Y19" s="339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91"/>
      <c r="Q20" s="1262"/>
      <c r="R20" s="667"/>
      <c r="S20" s="668"/>
      <c r="T20" s="667"/>
      <c r="U20" s="668"/>
      <c r="V20" s="667"/>
      <c r="W20" s="668"/>
      <c r="X20" s="1264"/>
      <c r="Y20" s="339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1"/>
      <c r="Q21" s="1262" t="str">
        <f>B21</f>
        <v>交通便捷度</v>
      </c>
      <c r="R21" s="667" t="s">
        <v>14</v>
      </c>
      <c r="S21" s="668">
        <f>F21</f>
        <v>100</v>
      </c>
      <c r="T21" s="667" t="s">
        <v>14</v>
      </c>
      <c r="U21" s="668">
        <f>H21</f>
        <v>100</v>
      </c>
      <c r="V21" s="667" t="s">
        <v>14</v>
      </c>
      <c r="W21" s="668">
        <f>J21</f>
        <v>100</v>
      </c>
      <c r="X21" s="1264"/>
      <c r="Y21" s="339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91"/>
      <c r="Q22" s="1262"/>
      <c r="R22" s="667"/>
      <c r="S22" s="668"/>
      <c r="T22" s="667"/>
      <c r="U22" s="668"/>
      <c r="V22" s="667"/>
      <c r="W22" s="668"/>
      <c r="X22" s="1264"/>
      <c r="Y22" s="339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1"/>
      <c r="Q23" s="1262" t="str">
        <f t="shared" ref="Q23:Q37" si="8">B23</f>
        <v>区域土地利用方向</v>
      </c>
      <c r="R23" s="667" t="s">
        <v>14</v>
      </c>
      <c r="S23" s="668">
        <f>F23</f>
        <v>100</v>
      </c>
      <c r="T23" s="667" t="s">
        <v>14</v>
      </c>
      <c r="U23" s="668">
        <f>H23</f>
        <v>100</v>
      </c>
      <c r="V23" s="667" t="s">
        <v>14</v>
      </c>
      <c r="W23" s="668">
        <f>J23</f>
        <v>100</v>
      </c>
      <c r="X23" s="1264"/>
      <c r="Y23" s="339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91"/>
      <c r="Q24" s="1262"/>
      <c r="R24" s="667"/>
      <c r="S24" s="668"/>
      <c r="T24" s="667"/>
      <c r="U24" s="668"/>
      <c r="V24" s="667"/>
      <c r="W24" s="668"/>
      <c r="X24" s="1264"/>
      <c r="Y24" s="3391"/>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1"/>
      <c r="Q25" s="1262" t="str">
        <f t="shared" si="8"/>
        <v>自然及人文环境状况</v>
      </c>
      <c r="R25" s="667" t="s">
        <v>14</v>
      </c>
      <c r="S25" s="668">
        <f>F25</f>
        <v>100</v>
      </c>
      <c r="T25" s="667" t="s">
        <v>14</v>
      </c>
      <c r="U25" s="668">
        <f>H25</f>
        <v>100</v>
      </c>
      <c r="V25" s="667" t="s">
        <v>14</v>
      </c>
      <c r="W25" s="668">
        <f>J25</f>
        <v>100</v>
      </c>
      <c r="X25" s="1264"/>
      <c r="Y25" s="339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91"/>
      <c r="Q26" s="1262"/>
      <c r="R26" s="667"/>
      <c r="S26" s="668"/>
      <c r="T26" s="667"/>
      <c r="U26" s="668"/>
      <c r="V26" s="667"/>
      <c r="W26" s="668"/>
      <c r="X26" s="1264"/>
      <c r="Y26" s="3391"/>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91"/>
      <c r="Q28" s="530"/>
      <c r="R28" s="664"/>
      <c r="S28" s="665"/>
      <c r="T28" s="664"/>
      <c r="U28" s="665"/>
      <c r="V28" s="664"/>
      <c r="W28" s="665"/>
      <c r="X28" s="666"/>
      <c r="Y28" s="3391"/>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91"/>
      <c r="Q30" s="530"/>
      <c r="R30" s="664"/>
      <c r="S30" s="665"/>
      <c r="T30" s="664"/>
      <c r="U30" s="665"/>
      <c r="V30" s="664"/>
      <c r="W30" s="665"/>
      <c r="X30" s="666"/>
      <c r="Y30" s="339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1"/>
      <c r="Q32" s="1262" t="str">
        <f t="shared" si="8"/>
        <v>毗邻道路的类型与等级</v>
      </c>
      <c r="R32" s="667" t="s">
        <v>14</v>
      </c>
      <c r="S32" s="668">
        <f t="shared" si="10"/>
        <v>100</v>
      </c>
      <c r="T32" s="667" t="s">
        <v>14</v>
      </c>
      <c r="U32" s="668">
        <f t="shared" si="11"/>
        <v>100</v>
      </c>
      <c r="V32" s="667" t="s">
        <v>14</v>
      </c>
      <c r="W32" s="668">
        <f t="shared" si="12"/>
        <v>100</v>
      </c>
      <c r="X32" s="1264"/>
      <c r="Y32" s="339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1"/>
      <c r="Q33" s="1262"/>
      <c r="R33" s="667"/>
      <c r="S33" s="668"/>
      <c r="T33" s="667"/>
      <c r="U33" s="668"/>
      <c r="V33" s="667"/>
      <c r="W33" s="668"/>
      <c r="X33" s="1264"/>
      <c r="Y33" s="339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1"/>
      <c r="Q34" s="1262" t="str">
        <f t="shared" si="8"/>
        <v>土地级别</v>
      </c>
      <c r="R34" s="667" t="s">
        <v>14</v>
      </c>
      <c r="S34" s="668">
        <f t="shared" si="10"/>
        <v>100</v>
      </c>
      <c r="T34" s="667" t="s">
        <v>14</v>
      </c>
      <c r="U34" s="668">
        <f t="shared" si="11"/>
        <v>100</v>
      </c>
      <c r="V34" s="667" t="s">
        <v>14</v>
      </c>
      <c r="W34" s="668">
        <f t="shared" si="12"/>
        <v>100</v>
      </c>
      <c r="X34" s="1264"/>
      <c r="Y34" s="339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1"/>
      <c r="Q35" s="1262">
        <f t="shared" si="8"/>
        <v>111</v>
      </c>
      <c r="R35" s="667" t="s">
        <v>14</v>
      </c>
      <c r="S35" s="668">
        <f t="shared" si="10"/>
        <v>100</v>
      </c>
      <c r="T35" s="667" t="s">
        <v>14</v>
      </c>
      <c r="U35" s="668">
        <f t="shared" si="11"/>
        <v>100</v>
      </c>
      <c r="V35" s="667" t="s">
        <v>14</v>
      </c>
      <c r="W35" s="668">
        <f t="shared" si="12"/>
        <v>100</v>
      </c>
      <c r="X35" s="1264"/>
      <c r="Y35" s="339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9" t="s">
        <v>1696</v>
      </c>
      <c r="Q36" s="1262">
        <f t="shared" si="8"/>
        <v>111</v>
      </c>
      <c r="R36" s="667" t="s">
        <v>14</v>
      </c>
      <c r="S36" s="668">
        <f t="shared" si="10"/>
        <v>100</v>
      </c>
      <c r="T36" s="667" t="s">
        <v>14</v>
      </c>
      <c r="U36" s="668">
        <f t="shared" si="11"/>
        <v>100</v>
      </c>
      <c r="V36" s="667" t="s">
        <v>14</v>
      </c>
      <c r="W36" s="668">
        <f t="shared" si="12"/>
        <v>100</v>
      </c>
      <c r="X36" s="1264"/>
      <c r="Y36" s="3395"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5"/>
      <c r="Q37" s="1262">
        <f t="shared" si="8"/>
        <v>111</v>
      </c>
      <c r="R37" s="669" t="s">
        <v>14</v>
      </c>
      <c r="S37" s="670">
        <f t="shared" si="10"/>
        <v>100</v>
      </c>
      <c r="T37" s="669" t="s">
        <v>14</v>
      </c>
      <c r="U37" s="670">
        <f t="shared" si="11"/>
        <v>100</v>
      </c>
      <c r="V37" s="669" t="s">
        <v>14</v>
      </c>
      <c r="W37" s="670">
        <f t="shared" si="12"/>
        <v>100</v>
      </c>
      <c r="X37" s="671"/>
      <c r="Y37" s="3395"/>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5"/>
      <c r="Q38" s="1262" t="str">
        <f>B38</f>
        <v>宗地面积</v>
      </c>
      <c r="R38" s="667" t="s">
        <v>14</v>
      </c>
      <c r="S38" s="668" t="e">
        <f t="shared" si="10"/>
        <v>#N/A</v>
      </c>
      <c r="T38" s="667" t="s">
        <v>14</v>
      </c>
      <c r="U38" s="668" t="e">
        <f t="shared" si="11"/>
        <v>#N/A</v>
      </c>
      <c r="V38" s="667" t="s">
        <v>14</v>
      </c>
      <c r="W38" s="668" t="e">
        <f t="shared" si="12"/>
        <v>#N/A</v>
      </c>
      <c r="X38" s="1264"/>
      <c r="Y38" s="339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5"/>
      <c r="Q39" s="1262" t="str">
        <f t="shared" ref="Q39:Q45" si="14">B39</f>
        <v>宗地形状</v>
      </c>
      <c r="R39" s="667" t="s">
        <v>14</v>
      </c>
      <c r="S39" s="668">
        <f t="shared" si="10"/>
        <v>100</v>
      </c>
      <c r="T39" s="667" t="s">
        <v>14</v>
      </c>
      <c r="U39" s="668">
        <f t="shared" si="11"/>
        <v>100</v>
      </c>
      <c r="V39" s="667" t="s">
        <v>14</v>
      </c>
      <c r="W39" s="668">
        <f t="shared" si="12"/>
        <v>100</v>
      </c>
      <c r="X39" s="1264"/>
      <c r="Y39" s="339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5"/>
      <c r="Q40" s="1262" t="str">
        <f t="shared" si="14"/>
        <v>临街宽度及深度</v>
      </c>
      <c r="R40" s="667" t="s">
        <v>14</v>
      </c>
      <c r="S40" s="668">
        <f t="shared" si="10"/>
        <v>100</v>
      </c>
      <c r="T40" s="667" t="s">
        <v>14</v>
      </c>
      <c r="U40" s="668">
        <f t="shared" si="11"/>
        <v>100</v>
      </c>
      <c r="V40" s="667" t="s">
        <v>14</v>
      </c>
      <c r="W40" s="668">
        <f t="shared" si="12"/>
        <v>100</v>
      </c>
      <c r="X40" s="1264"/>
      <c r="Y40" s="339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5"/>
      <c r="Q41" s="1262"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5" t="s">
        <v>1696</v>
      </c>
      <c r="Q42" s="1262" t="str">
        <f t="shared" si="14"/>
        <v>工程地质条件</v>
      </c>
      <c r="R42" s="667" t="s">
        <v>14</v>
      </c>
      <c r="S42" s="668">
        <f t="shared" si="10"/>
        <v>100</v>
      </c>
      <c r="T42" s="667" t="s">
        <v>14</v>
      </c>
      <c r="U42" s="668">
        <f t="shared" si="11"/>
        <v>100</v>
      </c>
      <c r="V42" s="667" t="s">
        <v>14</v>
      </c>
      <c r="W42" s="668">
        <f t="shared" si="12"/>
        <v>100</v>
      </c>
      <c r="X42" s="1264"/>
      <c r="Y42" s="3395"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5"/>
      <c r="Q43" s="1262">
        <f t="shared" si="14"/>
        <v>111</v>
      </c>
      <c r="R43" s="667" t="s">
        <v>14</v>
      </c>
      <c r="S43" s="668">
        <f t="shared" si="10"/>
        <v>100</v>
      </c>
      <c r="T43" s="667" t="s">
        <v>14</v>
      </c>
      <c r="U43" s="668">
        <f t="shared" si="11"/>
        <v>100</v>
      </c>
      <c r="V43" s="667" t="s">
        <v>14</v>
      </c>
      <c r="W43" s="668">
        <f t="shared" si="12"/>
        <v>100</v>
      </c>
      <c r="X43" s="1264"/>
      <c r="Y43" s="3395"/>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5"/>
      <c r="Q44" s="1262">
        <f t="shared" si="14"/>
        <v>111</v>
      </c>
      <c r="R44" s="667" t="s">
        <v>14</v>
      </c>
      <c r="S44" s="668">
        <f t="shared" si="10"/>
        <v>100</v>
      </c>
      <c r="T44" s="667" t="s">
        <v>14</v>
      </c>
      <c r="U44" s="668">
        <f t="shared" si="11"/>
        <v>100</v>
      </c>
      <c r="V44" s="667" t="s">
        <v>14</v>
      </c>
      <c r="W44" s="668">
        <f t="shared" si="12"/>
        <v>100</v>
      </c>
      <c r="X44" s="1264"/>
      <c r="Y44" s="3395"/>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5"/>
      <c r="Q45" s="1262">
        <f t="shared" si="14"/>
        <v>111</v>
      </c>
      <c r="R45" s="669" t="s">
        <v>14</v>
      </c>
      <c r="S45" s="670">
        <f t="shared" si="10"/>
        <v>100</v>
      </c>
      <c r="T45" s="669" t="s">
        <v>14</v>
      </c>
      <c r="U45" s="670">
        <f t="shared" si="11"/>
        <v>100</v>
      </c>
      <c r="V45" s="669" t="s">
        <v>14</v>
      </c>
      <c r="W45" s="670">
        <f t="shared" si="12"/>
        <v>100</v>
      </c>
      <c r="X45" s="671"/>
      <c r="Y45" s="3395"/>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8" t="str">
        <f>A47</f>
        <v>比较价值（元/平方米）</v>
      </c>
      <c r="Q47" s="3388"/>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5" t="str">
        <f>A48</f>
        <v>估价对象XX用房的比较价值（楼面单价，元/平方米）</v>
      </c>
      <c r="Q48" s="3386"/>
      <c r="R48" s="3452" t="e">
        <f>ROUND(IF(D47="简单平均",AVERAGE(R47:W47),R47*F47+T47*H47+V47*J47),0)</f>
        <v>#DIV/0!</v>
      </c>
      <c r="S48" s="3452"/>
      <c r="T48" s="3452"/>
      <c r="U48" s="3452"/>
      <c r="V48" s="3452"/>
      <c r="W48" s="345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3" t="s">
        <v>1887</v>
      </c>
      <c r="H55" s="345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184.86</v>
      </c>
      <c r="F56" s="833" t="e">
        <f t="shared" ref="F56:F64" si="15">ROUND(B56*E56/10000,0)</f>
        <v>#DIV/0!</v>
      </c>
      <c r="G56" s="3399"/>
      <c r="H56" s="338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2023-3</v>
      </c>
      <c r="D69" s="1100" t="str">
        <f>YEAR(D67)&amp;"-"&amp;ROUNDUP(MONTH(D67)/3,0)</f>
        <v>2023-2</v>
      </c>
      <c r="E69" s="1100" t="str">
        <f t="shared" ref="E69:O69" si="19">YEAR(E67)&amp;"-"&amp;ROUNDUP(MONTH(E67)/3,0)</f>
        <v>2023-1</v>
      </c>
      <c r="F69" s="1100" t="str">
        <f t="shared" si="19"/>
        <v>2022-4</v>
      </c>
      <c r="G69" s="1100" t="str">
        <f t="shared" si="19"/>
        <v>2022-3</v>
      </c>
      <c r="H69" s="1100" t="str">
        <f t="shared" si="19"/>
        <v>2022-2</v>
      </c>
      <c r="I69" s="1100" t="str">
        <f t="shared" si="19"/>
        <v>2022-1</v>
      </c>
      <c r="J69" s="1100" t="str">
        <f t="shared" si="19"/>
        <v>2021-4</v>
      </c>
      <c r="K69" s="1100" t="str">
        <f t="shared" si="19"/>
        <v>2021-3</v>
      </c>
      <c r="L69" s="1100" t="str">
        <f t="shared" si="19"/>
        <v>2021-2</v>
      </c>
      <c r="M69" s="1100" t="str">
        <f t="shared" si="19"/>
        <v>2021-1</v>
      </c>
      <c r="N69" s="1100" t="str">
        <f t="shared" si="19"/>
        <v>2020-4</v>
      </c>
      <c r="O69" s="1100" t="str">
        <f t="shared" si="19"/>
        <v>2020-3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6"/>
      <c r="M4" s="2487"/>
      <c r="N4" s="2487"/>
      <c r="O4" s="2487"/>
      <c r="P4" s="3407" t="s">
        <v>1775</v>
      </c>
      <c r="Q4" s="3408"/>
      <c r="R4" s="3413" t="s">
        <v>1771</v>
      </c>
      <c r="S4" s="3414"/>
      <c r="T4" s="3413" t="s">
        <v>1772</v>
      </c>
      <c r="U4" s="3414"/>
      <c r="V4" s="3389" t="s">
        <v>1773</v>
      </c>
      <c r="W4" s="3389"/>
      <c r="X4" s="1264"/>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6"/>
      <c r="M5" s="2487"/>
      <c r="N5" s="2487"/>
      <c r="O5" s="2487"/>
      <c r="P5" s="3409"/>
      <c r="Q5" s="3410"/>
      <c r="R5" s="3415"/>
      <c r="S5" s="3416"/>
      <c r="T5" s="3415"/>
      <c r="U5" s="3416"/>
      <c r="V5" s="3389"/>
      <c r="W5" s="3389"/>
      <c r="X5" s="1264"/>
      <c r="Y5" s="3415"/>
      <c r="Z5" s="3416"/>
      <c r="AA5" s="3401"/>
      <c r="AB5" s="3401"/>
      <c r="AC5" s="3401"/>
    </row>
    <row r="6" spans="1:29" ht="15.75" thickBot="1">
      <c r="A6" s="350"/>
      <c r="B6" s="351"/>
      <c r="C6" s="3454" t="s">
        <v>1919</v>
      </c>
      <c r="D6" s="3455"/>
      <c r="E6" s="3456" t="s">
        <v>1919</v>
      </c>
      <c r="F6" s="3457"/>
      <c r="G6" s="3454" t="s">
        <v>1919</v>
      </c>
      <c r="H6" s="3455"/>
      <c r="I6" s="3454" t="s">
        <v>1919</v>
      </c>
      <c r="J6" s="3455"/>
      <c r="K6" s="537" t="s">
        <v>1678</v>
      </c>
      <c r="L6" s="2486"/>
      <c r="M6" s="2487"/>
      <c r="N6" s="2487"/>
      <c r="O6" s="2487"/>
      <c r="P6" s="3411"/>
      <c r="Q6" s="3412"/>
      <c r="R6" s="3415"/>
      <c r="S6" s="3416"/>
      <c r="T6" s="3417"/>
      <c r="U6" s="3418"/>
      <c r="V6" s="3389"/>
      <c r="W6" s="3389"/>
      <c r="X6" s="1264"/>
      <c r="Y6" s="3417"/>
      <c r="Z6" s="3418"/>
      <c r="AA6" s="3402"/>
      <c r="AB6" s="3402"/>
      <c r="AC6" s="3402"/>
    </row>
    <row r="7" spans="1:29" s="102" customFormat="1" ht="15.75" thickBot="1">
      <c r="A7" s="352" t="s">
        <v>1679</v>
      </c>
      <c r="B7" s="353"/>
      <c r="C7" s="354">
        <f>'数据-取费表'!B2</f>
        <v>45168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8"/>
      <c r="Q10" s="530" t="str">
        <f t="shared" si="6"/>
        <v>土地使用年限（年）</v>
      </c>
      <c r="R10" s="664" t="s">
        <v>14</v>
      </c>
      <c r="S10" s="665" t="e">
        <f t="shared" si="0"/>
        <v>#DIV/0!</v>
      </c>
      <c r="T10" s="664" t="s">
        <v>14</v>
      </c>
      <c r="U10" s="665" t="e">
        <f t="shared" si="1"/>
        <v>#DIV/0!</v>
      </c>
      <c r="V10" s="664" t="s">
        <v>14</v>
      </c>
      <c r="W10" s="665" t="e">
        <f t="shared" si="2"/>
        <v>#DIV/0!</v>
      </c>
      <c r="X10" s="666"/>
      <c r="Y10" s="32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0" t="s">
        <v>1691</v>
      </c>
      <c r="Q15" s="1262" t="str">
        <f t="shared" si="6"/>
        <v>产业集聚程度</v>
      </c>
      <c r="R15" s="667" t="s">
        <v>14</v>
      </c>
      <c r="S15" s="668">
        <f t="shared" si="0"/>
        <v>100</v>
      </c>
      <c r="T15" s="667" t="s">
        <v>14</v>
      </c>
      <c r="U15" s="668">
        <f t="shared" si="1"/>
        <v>100</v>
      </c>
      <c r="V15" s="667" t="s">
        <v>14</v>
      </c>
      <c r="W15" s="668">
        <f t="shared" si="2"/>
        <v>100</v>
      </c>
      <c r="X15" s="1264"/>
      <c r="Y15" s="339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91"/>
      <c r="Q16" s="1262"/>
      <c r="R16" s="667"/>
      <c r="S16" s="668"/>
      <c r="T16" s="667"/>
      <c r="U16" s="668"/>
      <c r="V16" s="667"/>
      <c r="W16" s="668"/>
      <c r="X16" s="1264"/>
      <c r="Y16" s="339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1"/>
      <c r="Q17" s="1262" t="str">
        <f>B17</f>
        <v>交通便捷度</v>
      </c>
      <c r="R17" s="667" t="s">
        <v>14</v>
      </c>
      <c r="S17" s="668">
        <f>F17</f>
        <v>100</v>
      </c>
      <c r="T17" s="667" t="s">
        <v>14</v>
      </c>
      <c r="U17" s="668">
        <f>H17</f>
        <v>100</v>
      </c>
      <c r="V17" s="667" t="s">
        <v>14</v>
      </c>
      <c r="W17" s="668">
        <f>J17</f>
        <v>100</v>
      </c>
      <c r="X17" s="1264"/>
      <c r="Y17" s="339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91"/>
      <c r="Q18" s="1262"/>
      <c r="R18" s="667"/>
      <c r="S18" s="668"/>
      <c r="T18" s="667"/>
      <c r="U18" s="668"/>
      <c r="V18" s="667"/>
      <c r="W18" s="668"/>
      <c r="X18" s="1264"/>
      <c r="Y18" s="339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1"/>
      <c r="Q19" s="1262" t="str">
        <f t="shared" ref="Q19:Q33" si="8">B19</f>
        <v>区域土地利用方向</v>
      </c>
      <c r="R19" s="667" t="s">
        <v>14</v>
      </c>
      <c r="S19" s="668">
        <f>F19</f>
        <v>100</v>
      </c>
      <c r="T19" s="667" t="s">
        <v>14</v>
      </c>
      <c r="U19" s="668">
        <f>H19</f>
        <v>100</v>
      </c>
      <c r="V19" s="667" t="s">
        <v>14</v>
      </c>
      <c r="W19" s="668">
        <f>J19</f>
        <v>100</v>
      </c>
      <c r="X19" s="1264"/>
      <c r="Y19" s="339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91"/>
      <c r="Q20" s="1262"/>
      <c r="R20" s="667"/>
      <c r="S20" s="668"/>
      <c r="T20" s="667"/>
      <c r="U20" s="668"/>
      <c r="V20" s="667"/>
      <c r="W20" s="668"/>
      <c r="X20" s="1264"/>
      <c r="Y20" s="339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1"/>
      <c r="Q21" s="1262" t="str">
        <f t="shared" si="8"/>
        <v>环境状况</v>
      </c>
      <c r="R21" s="667" t="s">
        <v>14</v>
      </c>
      <c r="S21" s="668">
        <f>F21</f>
        <v>100</v>
      </c>
      <c r="T21" s="667" t="s">
        <v>14</v>
      </c>
      <c r="U21" s="668">
        <f>H21</f>
        <v>100</v>
      </c>
      <c r="V21" s="667" t="s">
        <v>14</v>
      </c>
      <c r="W21" s="668">
        <f>J21</f>
        <v>100</v>
      </c>
      <c r="X21" s="1264"/>
      <c r="Y21" s="339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91"/>
      <c r="Q22" s="1262"/>
      <c r="R22" s="667"/>
      <c r="S22" s="668"/>
      <c r="T22" s="667"/>
      <c r="U22" s="668"/>
      <c r="V22" s="667"/>
      <c r="W22" s="668"/>
      <c r="X22" s="1264"/>
      <c r="Y22" s="339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1"/>
      <c r="Q28" s="1262" t="str">
        <f t="shared" si="8"/>
        <v>毗邻道路的类型与等级</v>
      </c>
      <c r="R28" s="667" t="s">
        <v>14</v>
      </c>
      <c r="S28" s="668">
        <f t="shared" si="10"/>
        <v>100</v>
      </c>
      <c r="T28" s="667" t="s">
        <v>14</v>
      </c>
      <c r="U28" s="668">
        <f t="shared" si="11"/>
        <v>100</v>
      </c>
      <c r="V28" s="667" t="s">
        <v>14</v>
      </c>
      <c r="W28" s="668">
        <f t="shared" si="12"/>
        <v>100</v>
      </c>
      <c r="X28" s="1264"/>
      <c r="Y28" s="339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1"/>
      <c r="Q29" s="1262"/>
      <c r="R29" s="667"/>
      <c r="S29" s="668"/>
      <c r="T29" s="667"/>
      <c r="U29" s="668"/>
      <c r="V29" s="667"/>
      <c r="W29" s="668"/>
      <c r="X29" s="1264"/>
      <c r="Y29" s="339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1"/>
      <c r="Q30" s="1262" t="str">
        <f t="shared" si="8"/>
        <v>土地级别</v>
      </c>
      <c r="R30" s="667" t="s">
        <v>14</v>
      </c>
      <c r="S30" s="668">
        <f t="shared" si="10"/>
        <v>100</v>
      </c>
      <c r="T30" s="667" t="s">
        <v>14</v>
      </c>
      <c r="U30" s="668">
        <f t="shared" si="11"/>
        <v>100</v>
      </c>
      <c r="V30" s="667" t="s">
        <v>14</v>
      </c>
      <c r="W30" s="668">
        <f t="shared" si="12"/>
        <v>100</v>
      </c>
      <c r="X30" s="1264"/>
      <c r="Y30" s="3391"/>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1"/>
      <c r="Q31" s="1262">
        <f t="shared" si="8"/>
        <v>111</v>
      </c>
      <c r="R31" s="667" t="s">
        <v>14</v>
      </c>
      <c r="S31" s="668">
        <f t="shared" si="10"/>
        <v>100</v>
      </c>
      <c r="T31" s="667" t="s">
        <v>14</v>
      </c>
      <c r="U31" s="668">
        <f t="shared" si="11"/>
        <v>100</v>
      </c>
      <c r="V31" s="667" t="s">
        <v>14</v>
      </c>
      <c r="W31" s="668">
        <f t="shared" si="12"/>
        <v>100</v>
      </c>
      <c r="X31" s="1264"/>
      <c r="Y31" s="339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9" t="s">
        <v>1696</v>
      </c>
      <c r="Q32" s="1262">
        <f t="shared" si="8"/>
        <v>111</v>
      </c>
      <c r="R32" s="667" t="s">
        <v>14</v>
      </c>
      <c r="S32" s="668">
        <f t="shared" si="10"/>
        <v>100</v>
      </c>
      <c r="T32" s="667" t="s">
        <v>14</v>
      </c>
      <c r="U32" s="668">
        <f t="shared" si="11"/>
        <v>100</v>
      </c>
      <c r="V32" s="667" t="s">
        <v>14</v>
      </c>
      <c r="W32" s="668">
        <f t="shared" si="12"/>
        <v>100</v>
      </c>
      <c r="X32" s="1264"/>
      <c r="Y32" s="339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5"/>
      <c r="Q33" s="1262">
        <f t="shared" si="8"/>
        <v>111</v>
      </c>
      <c r="R33" s="669" t="s">
        <v>14</v>
      </c>
      <c r="S33" s="670">
        <f t="shared" si="10"/>
        <v>100</v>
      </c>
      <c r="T33" s="669" t="s">
        <v>14</v>
      </c>
      <c r="U33" s="670">
        <f t="shared" si="11"/>
        <v>100</v>
      </c>
      <c r="V33" s="669" t="s">
        <v>14</v>
      </c>
      <c r="W33" s="670">
        <f t="shared" si="12"/>
        <v>100</v>
      </c>
      <c r="X33" s="671"/>
      <c r="Y33" s="3395"/>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5"/>
      <c r="Q34" s="1262" t="str">
        <f>B34</f>
        <v>宗地面积</v>
      </c>
      <c r="R34" s="667" t="s">
        <v>14</v>
      </c>
      <c r="S34" s="668" t="e">
        <f t="shared" si="10"/>
        <v>#N/A</v>
      </c>
      <c r="T34" s="667" t="s">
        <v>14</v>
      </c>
      <c r="U34" s="668" t="e">
        <f t="shared" si="11"/>
        <v>#N/A</v>
      </c>
      <c r="V34" s="667" t="s">
        <v>14</v>
      </c>
      <c r="W34" s="668" t="e">
        <f t="shared" si="12"/>
        <v>#N/A</v>
      </c>
      <c r="X34" s="1264"/>
      <c r="Y34" s="339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5"/>
      <c r="Q35" s="1262" t="str">
        <f t="shared" ref="Q35:Q40" si="14">B35</f>
        <v>宗地形状</v>
      </c>
      <c r="R35" s="667" t="s">
        <v>14</v>
      </c>
      <c r="S35" s="668">
        <f t="shared" si="10"/>
        <v>100</v>
      </c>
      <c r="T35" s="667" t="s">
        <v>14</v>
      </c>
      <c r="U35" s="668">
        <f t="shared" si="11"/>
        <v>100</v>
      </c>
      <c r="V35" s="667" t="s">
        <v>14</v>
      </c>
      <c r="W35" s="668">
        <f t="shared" si="12"/>
        <v>100</v>
      </c>
      <c r="X35" s="1264"/>
      <c r="Y35" s="339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5"/>
      <c r="Q36" s="1262"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5" t="s">
        <v>1696</v>
      </c>
      <c r="Q37" s="1262" t="str">
        <f t="shared" si="14"/>
        <v>工程地质条件</v>
      </c>
      <c r="R37" s="667" t="s">
        <v>14</v>
      </c>
      <c r="S37" s="668">
        <f t="shared" si="10"/>
        <v>100</v>
      </c>
      <c r="T37" s="667" t="s">
        <v>14</v>
      </c>
      <c r="U37" s="668">
        <f t="shared" si="11"/>
        <v>100</v>
      </c>
      <c r="V37" s="667" t="s">
        <v>14</v>
      </c>
      <c r="W37" s="668">
        <f t="shared" si="12"/>
        <v>100</v>
      </c>
      <c r="X37" s="1264"/>
      <c r="Y37" s="3395"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5"/>
      <c r="Q38" s="1262">
        <f t="shared" si="14"/>
        <v>111</v>
      </c>
      <c r="R38" s="667" t="s">
        <v>14</v>
      </c>
      <c r="S38" s="668">
        <f t="shared" si="10"/>
        <v>100</v>
      </c>
      <c r="T38" s="667" t="s">
        <v>14</v>
      </c>
      <c r="U38" s="668">
        <f t="shared" si="11"/>
        <v>100</v>
      </c>
      <c r="V38" s="667" t="s">
        <v>14</v>
      </c>
      <c r="W38" s="668">
        <f t="shared" si="12"/>
        <v>100</v>
      </c>
      <c r="X38" s="1264"/>
      <c r="Y38" s="3395"/>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5"/>
      <c r="Q39" s="1262">
        <f t="shared" si="14"/>
        <v>111</v>
      </c>
      <c r="R39" s="667" t="s">
        <v>14</v>
      </c>
      <c r="S39" s="668">
        <f t="shared" si="10"/>
        <v>100</v>
      </c>
      <c r="T39" s="667" t="s">
        <v>14</v>
      </c>
      <c r="U39" s="668">
        <f t="shared" si="11"/>
        <v>100</v>
      </c>
      <c r="V39" s="667" t="s">
        <v>14</v>
      </c>
      <c r="W39" s="668">
        <f t="shared" si="12"/>
        <v>100</v>
      </c>
      <c r="X39" s="1264"/>
      <c r="Y39" s="3395"/>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5"/>
      <c r="Q40" s="1262">
        <f t="shared" si="14"/>
        <v>111</v>
      </c>
      <c r="R40" s="669" t="s">
        <v>14</v>
      </c>
      <c r="S40" s="670">
        <f t="shared" si="10"/>
        <v>100</v>
      </c>
      <c r="T40" s="669" t="s">
        <v>14</v>
      </c>
      <c r="U40" s="670">
        <f t="shared" si="11"/>
        <v>100</v>
      </c>
      <c r="V40" s="669" t="s">
        <v>14</v>
      </c>
      <c r="W40" s="670">
        <f t="shared" si="12"/>
        <v>100</v>
      </c>
      <c r="X40" s="671"/>
      <c r="Y40" s="3395"/>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8" t="str">
        <f>A42</f>
        <v>比较价值（元/平方米）</v>
      </c>
      <c r="Q42" s="3388"/>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5" t="str">
        <f>A43</f>
        <v>估价对象XX用房的比较价值（楼面单价，元/平方米）</v>
      </c>
      <c r="Q43" s="3386"/>
      <c r="R43" s="3452" t="e">
        <f>ROUND(IF(D42="简单平均",AVERAGE(R42:W42),R42*F42+T42*H42+V42*J42),0)</f>
        <v>#DIV/0!</v>
      </c>
      <c r="S43" s="3452"/>
      <c r="T43" s="3452"/>
      <c r="U43" s="3452"/>
      <c r="V43" s="3452"/>
      <c r="W43" s="345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3" t="s">
        <v>1887</v>
      </c>
      <c r="H50" s="3453"/>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184.86</v>
      </c>
      <c r="F51" s="611" t="e">
        <f t="shared" ref="F51:F60" si="15">ROUND(B51*E51/10000,0)</f>
        <v>#DIV/0!</v>
      </c>
      <c r="G51" s="3399"/>
      <c r="H51" s="338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2023-3</v>
      </c>
      <c r="D65" s="1100" t="str">
        <f t="shared" ref="D65:O65" si="19">YEAR(D63)&amp;"-"&amp;ROUNDUP(MONTH(D63)/3,0)</f>
        <v>2023-2</v>
      </c>
      <c r="E65" s="1100" t="str">
        <f t="shared" si="19"/>
        <v>2023-1</v>
      </c>
      <c r="F65" s="1100" t="str">
        <f t="shared" si="19"/>
        <v>2022-4</v>
      </c>
      <c r="G65" s="1100" t="str">
        <f t="shared" si="19"/>
        <v>2022-3</v>
      </c>
      <c r="H65" s="1100" t="str">
        <f t="shared" si="19"/>
        <v>2022-2</v>
      </c>
      <c r="I65" s="1100" t="str">
        <f t="shared" si="19"/>
        <v>2022-1</v>
      </c>
      <c r="J65" s="1100" t="str">
        <f t="shared" si="19"/>
        <v>2021-4</v>
      </c>
      <c r="K65" s="1100" t="str">
        <f t="shared" si="19"/>
        <v>2021-3</v>
      </c>
      <c r="L65" s="1100" t="str">
        <f t="shared" si="19"/>
        <v>2021-2</v>
      </c>
      <c r="M65" s="1100" t="str">
        <f t="shared" si="19"/>
        <v>2021-1</v>
      </c>
      <c r="N65" s="1100" t="str">
        <f t="shared" si="19"/>
        <v>2020-4</v>
      </c>
      <c r="O65" s="1100" t="str">
        <f t="shared" si="19"/>
        <v>2020-3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337</v>
      </c>
      <c r="C2" s="1983" t="s">
        <v>2074</v>
      </c>
      <c r="D2" s="1983" t="s">
        <v>2075</v>
      </c>
      <c r="E2" s="2397">
        <f ca="1">SUMIF(E6:E13,"&lt;&gt;#ref!",E6:E13)</f>
        <v>184.86</v>
      </c>
      <c r="F2" s="2544"/>
      <c r="G2" s="2544"/>
      <c r="H2" s="2544"/>
      <c r="I2" s="2544"/>
      <c r="J2" s="2544"/>
      <c r="K2" s="2544"/>
      <c r="L2" s="2544"/>
      <c r="M2" s="2544"/>
      <c r="N2" s="2544"/>
      <c r="O2" s="2544"/>
      <c r="P2" s="2544"/>
    </row>
    <row r="3" spans="1:16" ht="15.75">
      <c r="A3" s="1983" t="s">
        <v>2076</v>
      </c>
      <c r="B3" s="2387">
        <f ca="1">ROUND(B2*10000/E2,0)</f>
        <v>18230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337</v>
      </c>
      <c r="C6" s="1983" t="s">
        <v>2074</v>
      </c>
      <c r="D6" s="2544"/>
      <c r="E6" s="2397">
        <f ca="1">SUMIF(INDIRECT("'"&amp;A6&amp;"'"&amp;"!C:C"),"建筑面积",INDIRECT("'"&amp;A6&amp;"'"&amp;"!D:D"))</f>
        <v>184.86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7"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184.86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337</v>
      </c>
      <c r="C2" s="1845" t="s">
        <v>1935</v>
      </c>
      <c r="D2" s="162" t="s">
        <v>1936</v>
      </c>
      <c r="E2" s="3120"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27408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18230</v>
      </c>
      <c r="C3" s="1845" t="s">
        <v>1941</v>
      </c>
      <c r="D3" s="162" t="s">
        <v>1942</v>
      </c>
      <c r="E3" s="3118" t="s">
        <v>3388</v>
      </c>
      <c r="F3" s="1847" t="s">
        <v>3398</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21603</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71"/>
      <c r="B4" s="3472"/>
      <c r="C4" s="3472"/>
      <c r="D4" s="3473"/>
      <c r="E4" s="3473"/>
      <c r="F4" s="3473"/>
      <c r="G4" s="3473"/>
      <c r="H4" s="3473"/>
      <c r="I4" s="3473"/>
      <c r="J4" s="3474"/>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18258</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16517</v>
      </c>
      <c r="D5" s="1251">
        <f>ROUND(C6*C17+C20,0)</f>
        <v>15730</v>
      </c>
      <c r="E5" s="1251"/>
      <c r="F5" s="1850"/>
      <c r="G5" s="1851"/>
      <c r="H5" s="1851"/>
      <c r="I5" s="1851"/>
      <c r="J5" s="1852"/>
      <c r="K5" s="1853"/>
      <c r="L5" s="1846" t="s">
        <v>1948</v>
      </c>
      <c r="M5" s="811">
        <f>SUMPRODUCT((区片价!B87:B126=I2)*(区片价!C3:G3=E2)*(区片价!C87:G126))</f>
        <v>15730</v>
      </c>
      <c r="N5" s="813">
        <f>SUMPRODUCT((因素修正幅度!B87:B126=I2)*(因素修正幅度!C3:G3=E2)*(因素修正幅度!C87:G126))</f>
        <v>9.6000000000000002E-2</v>
      </c>
      <c r="O5" s="1056"/>
      <c r="P5" s="1056"/>
      <c r="Q5" s="1056"/>
      <c r="R5" s="1128">
        <v>4</v>
      </c>
      <c r="S5" s="3063">
        <f>ROUND(SUMPRODUCT((B106:B110=R5)*(C105:N105=G2)*(C106:N110)),4)</f>
        <v>0.88239999999999996</v>
      </c>
      <c r="T5" s="3063">
        <f t="shared" si="0"/>
        <v>16103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15730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15475</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3240</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五级</v>
      </c>
      <c r="Y7" s="1130" t="s">
        <v>1956</v>
      </c>
      <c r="Z7" s="1131">
        <f>G3</f>
        <v>2.5</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68" t="s">
        <v>1960</v>
      </c>
      <c r="X8" s="346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70"/>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7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1">
        <f>ROUND(C16*D16*E16*F16*G16*H16*I16*J16,4)</f>
        <v>1.05</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t="s">
        <v>3397</v>
      </c>
      <c r="E15" s="1887"/>
      <c r="F15" s="1469" t="s">
        <v>3247</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v>1</v>
      </c>
      <c r="D16" s="3024">
        <v>1.05</v>
      </c>
      <c r="E16" s="3024">
        <v>1</v>
      </c>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f>ROUND(G18/I18,2)</f>
        <v>0</v>
      </c>
      <c r="F17" s="3028" t="s">
        <v>3253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3252</v>
      </c>
      <c r="E19" s="3043"/>
      <c r="F19" s="3044" t="s">
        <v>3255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5" t="s">
        <v>3257</v>
      </c>
      <c r="B20" s="159" t="s">
        <v>1994</v>
      </c>
      <c r="C20" s="3031">
        <f>ROUND(IF(F21="与级别开发程度一致",0,(G21-E21)/C21),0)</f>
        <v>0</v>
      </c>
      <c r="D20" s="3046" t="s">
        <v>1998</v>
      </c>
      <c r="E20" s="3047"/>
      <c r="F20" s="3481" t="s">
        <v>1995</v>
      </c>
      <c r="G20" s="3482"/>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3396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895" t="s">
        <v>2002</v>
      </c>
      <c r="E23" s="717">
        <v>44197</v>
      </c>
      <c r="F23" s="1895" t="s">
        <v>2003</v>
      </c>
      <c r="G23" s="718">
        <f>'数据-取费表'!B2</f>
        <v>45168</v>
      </c>
      <c r="H23" s="3048" t="s">
        <v>3259</v>
      </c>
      <c r="I23" s="3049" t="str">
        <f>IF(H23="季度增幅（自定义）",SUMIF(N25:N28,E2,O25:O28),"")</f>
        <v/>
      </c>
      <c r="J23" s="3141" t="s">
        <v>3258</v>
      </c>
      <c r="K23" s="1061"/>
      <c r="L23" s="1896" t="s">
        <v>2004</v>
      </c>
      <c r="M23" s="1240">
        <f>ROUND(SUMIF(地价!B2:G2,E2,地价!B16:G16),0)</f>
        <v>687</v>
      </c>
      <c r="N23" s="1897" t="s">
        <v>2005</v>
      </c>
      <c r="O23" s="719">
        <f>ROUNDDOWN(DATEDIF(E23,G23,"M")/3,0)</f>
        <v>10</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0.98250000000000004</v>
      </c>
      <c r="D24" s="1901" t="s">
        <v>2007</v>
      </c>
      <c r="E24" s="1247">
        <f>存贷款利率!E24/100</f>
        <v>4.3499999999999997E-2</v>
      </c>
      <c r="F24" s="1901" t="s">
        <v>1999</v>
      </c>
      <c r="G24" s="724">
        <f>SUMIF(M30:Q30,E2,M33:Q33)</f>
        <v>0.05</v>
      </c>
      <c r="H24" s="1901" t="s">
        <v>2008</v>
      </c>
      <c r="I24" s="725">
        <f>SUMIF('数据-取费表'!C6:C15,E2,'数据-取费表'!F6:F15)/COUNTIF('数据-取费表'!C6:C15,E2)</f>
        <v>61.47</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3260</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1.0373000000000001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337</v>
      </c>
      <c r="D30" s="1924"/>
      <c r="E30" s="1841"/>
      <c r="F30" s="1925"/>
      <c r="G30" s="1841"/>
      <c r="H30" s="1841"/>
      <c r="I30" s="1841"/>
      <c r="J30" s="1926"/>
      <c r="K30" s="1056"/>
      <c r="L30" s="3055" t="s">
        <v>1936</v>
      </c>
      <c r="M30" s="3056" t="s">
        <v>1990</v>
      </c>
      <c r="N30" s="3056" t="s">
        <v>1991</v>
      </c>
      <c r="O30" s="3056" t="s">
        <v>1992</v>
      </c>
      <c r="P30" s="3056" t="s">
        <v>1993</v>
      </c>
      <c r="Q30" s="3059" t="s">
        <v>3265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18249</v>
      </c>
      <c r="D33" s="1939">
        <f>'数据-汇总表'!E3</f>
        <v>184.86</v>
      </c>
      <c r="E33" s="727">
        <f>ROUND(C33*D33/10000,0)</f>
        <v>337</v>
      </c>
      <c r="F33" s="3050" t="s">
        <v>3263</v>
      </c>
      <c r="G33" s="1940"/>
      <c r="H33" s="1940"/>
      <c r="I33" s="1940"/>
      <c r="J33" s="1941"/>
      <c r="K33" s="1056"/>
      <c r="L33" s="3053" t="s">
        <v>3266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4562</v>
      </c>
      <c r="D34" s="1944"/>
      <c r="E34" s="727">
        <f>ROUND(IF(B25="楼层修正",SUM(V2:V16)*M40,C34*D34/10000),0)</f>
        <v>0</v>
      </c>
      <c r="F34" s="1945" t="s">
        <v>2032</v>
      </c>
      <c r="G34" s="1946"/>
      <c r="H34" s="1946"/>
      <c r="I34" s="1946"/>
      <c r="J34" s="1947"/>
      <c r="K34" s="1056"/>
      <c r="L34" s="3053" t="s">
        <v>3267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9"/>
      <c r="B37" s="1954" t="s">
        <v>2036</v>
      </c>
      <c r="C37" s="167">
        <f>ROUND(D5*C22*C23*C24*C28*F37,0)</f>
        <v>10428</v>
      </c>
      <c r="D37" s="1939"/>
      <c r="E37" s="163">
        <f>ROUND(C37*D37/10000,0)</f>
        <v>0</v>
      </c>
      <c r="F37" s="163">
        <f>SUMIF(修正!A57:A68,G2,修正!B57:B68)</f>
        <v>0.6</v>
      </c>
      <c r="G37" s="163">
        <f>ROUND(IF(E2="工业",C37*$M$42,C37*$M$41),0)</f>
        <v>2607</v>
      </c>
      <c r="H37" s="163">
        <f>D37</f>
        <v>0</v>
      </c>
      <c r="I37" s="163">
        <f>ROUND(G37*H37/10000,0)</f>
        <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0"/>
      <c r="B38" s="1883" t="s">
        <v>2037</v>
      </c>
      <c r="C38" s="167">
        <f>ROUND(D5*C22*C23*C24*C28*F38,0)</f>
        <v>5214</v>
      </c>
      <c r="D38" s="1939"/>
      <c r="E38" s="163">
        <f t="shared" ref="E38:E42" si="4">ROUND(C38*D38/10000,0)</f>
        <v>0</v>
      </c>
      <c r="F38" s="163">
        <f>SUMIF(修正!A57:A68,G2,修正!C57:C68)</f>
        <v>0.3</v>
      </c>
      <c r="G38" s="163">
        <f>ROUND(IF(E2="工业",C38*$M$42,C38*$M$41),0)</f>
        <v>1304</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0"/>
      <c r="B39" s="1883" t="s">
        <v>3262</v>
      </c>
      <c r="C39" s="167">
        <f>ROUND(D5*C22*C23*C24*C28*F39,0)</f>
        <v>4345</v>
      </c>
      <c r="D39" s="1939"/>
      <c r="E39" s="163">
        <f t="shared" si="4"/>
        <v>0</v>
      </c>
      <c r="F39" s="163">
        <f>SUMIF(修正!A57:A68,G2,修正!D57:D68)</f>
        <v>0.25</v>
      </c>
      <c r="G39" s="163">
        <f>ROUND(IF(E2="工业",C39*$M$42,C39*$M$41),0)</f>
        <v>1086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4345</v>
      </c>
      <c r="D40" s="1939"/>
      <c r="E40" s="163">
        <f t="shared" si="4"/>
        <v>0</v>
      </c>
      <c r="F40" s="167">
        <f>SUMIF(修正!A57:A68,G2,修正!E57:E68)</f>
        <v>0.25</v>
      </c>
      <c r="G40" s="163">
        <f>ROUND(IF(E2="工业",C40*$M$42,C40*$M$41),0)</f>
        <v>1086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3272</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3272</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1.0373000000000001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3399</v>
      </c>
      <c r="D72" s="1002">
        <f t="shared" ref="D72:D80" si="17">SUMIF($J$71:$N$71,C72,J72:N72)</f>
        <v>9.5999999999999992E-3</v>
      </c>
      <c r="E72" s="702">
        <f>ROUND(SUM(D72:D80),4)</f>
        <v>3.73E-2</v>
      </c>
      <c r="F72" s="1674">
        <f>IF(E2="住宅",SUMIF(L1:L12,G2,N1:N12),"——")</f>
        <v>9.6000000000000002E-2</v>
      </c>
      <c r="G72" s="1000">
        <v>9.5999999999999992E-3</v>
      </c>
      <c r="H72" s="1003">
        <f t="shared" ref="H72:H80" si="18">IFERROR(ROUNDDOWN($F$72*I72/2,4),"——")</f>
        <v>9.5999999999999992E-3</v>
      </c>
      <c r="I72" s="3068">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t="s">
        <v>3400</v>
      </c>
      <c r="D73" s="1002">
        <f t="shared" si="17"/>
        <v>0</v>
      </c>
      <c r="E73" s="705"/>
      <c r="F73" s="1674"/>
      <c r="G73" s="1000">
        <v>1.24E-2</v>
      </c>
      <c r="H73" s="1003">
        <f t="shared" si="18"/>
        <v>1.24E-2</v>
      </c>
      <c r="I73" s="3068">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3" customFormat="1" ht="36">
      <c r="A74" s="3070" t="s">
        <v>3272</v>
      </c>
      <c r="B74" s="1261">
        <f>估价对象房地状况!C19</f>
        <v>0</v>
      </c>
      <c r="C74" s="1886" t="s">
        <v>3399</v>
      </c>
      <c r="D74" s="1002">
        <f t="shared" si="17"/>
        <v>4.7999999999999996E-3</v>
      </c>
      <c r="E74" s="705"/>
      <c r="F74" s="1674"/>
      <c r="G74" s="1000">
        <v>4.7999999999999996E-3</v>
      </c>
      <c r="H74" s="1003">
        <f t="shared" si="18"/>
        <v>4.7999999999999996E-3</v>
      </c>
      <c r="I74" s="3068">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t="s">
        <v>3400</v>
      </c>
      <c r="D75" s="1002">
        <f t="shared" si="17"/>
        <v>0</v>
      </c>
      <c r="E75" s="705"/>
      <c r="F75" s="1674"/>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3"/>
      <c r="Z75" s="1844"/>
      <c r="AA75" s="1894"/>
      <c r="AG75" s="1058"/>
      <c r="AK75" s="1894"/>
    </row>
    <row r="76" spans="1:37" ht="25.5">
      <c r="A76" s="1969" t="s">
        <v>2059</v>
      </c>
      <c r="B76" s="1239" t="str">
        <f>估价对象房地状况!C21</f>
        <v>估价对象所在区域公共配套设施齐备情况</v>
      </c>
      <c r="C76" s="1886" t="s">
        <v>3399</v>
      </c>
      <c r="D76" s="1002">
        <f t="shared" si="17"/>
        <v>3.8E-3</v>
      </c>
      <c r="E76" s="705"/>
      <c r="F76" s="1674"/>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39" t="str">
        <f>估价对象房地状况!C22</f>
        <v>估价对象所在区域基础设施水平</v>
      </c>
      <c r="C77" s="1886" t="s">
        <v>3401</v>
      </c>
      <c r="D77" s="1002">
        <f t="shared" si="17"/>
        <v>8.6E-3</v>
      </c>
      <c r="E77" s="705"/>
      <c r="F77" s="1674"/>
      <c r="G77" s="1000">
        <v>4.3E-3</v>
      </c>
      <c r="H77" s="1003">
        <f t="shared" si="18"/>
        <v>4.3E-3</v>
      </c>
      <c r="I77" s="3068">
        <v>0.09</v>
      </c>
      <c r="J77" s="1001">
        <f t="shared" si="19"/>
        <v>8.6E-3</v>
      </c>
      <c r="K77" s="1001">
        <f t="shared" si="20"/>
        <v>4.3E-3</v>
      </c>
      <c r="L77" s="1001">
        <v>0</v>
      </c>
      <c r="M77" s="1001">
        <f t="shared" si="21"/>
        <v>-4.3E-3</v>
      </c>
      <c r="N77" s="1001">
        <f t="shared" si="21"/>
        <v>-8.6E-3</v>
      </c>
      <c r="O77" s="1056"/>
      <c r="P77" s="1056"/>
      <c r="Z77" s="1844"/>
      <c r="AA77" s="1894"/>
      <c r="AG77" s="1058"/>
      <c r="AK77" s="1894"/>
    </row>
    <row r="78" spans="1:37" ht="24">
      <c r="A78" s="1969" t="s">
        <v>2057</v>
      </c>
      <c r="B78" s="1974" t="s">
        <v>2058</v>
      </c>
      <c r="C78" s="1886" t="s">
        <v>3399</v>
      </c>
      <c r="D78" s="1002">
        <f t="shared" si="17"/>
        <v>2.3999999999999998E-3</v>
      </c>
      <c r="E78" s="705"/>
      <c r="F78" s="1674"/>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3"/>
      <c r="P78" s="1843"/>
      <c r="Z78" s="1844"/>
      <c r="AA78" s="1894"/>
      <c r="AG78" s="1058"/>
      <c r="AK78" s="1894"/>
    </row>
    <row r="79" spans="1:37" ht="25.5">
      <c r="A79" s="1969" t="s">
        <v>2061</v>
      </c>
      <c r="B79" s="1972" t="str">
        <f>估价对象房地状况!C20</f>
        <v>区域自然环境：；人文环境；综合评价环境状况一般</v>
      </c>
      <c r="C79" s="1886" t="s">
        <v>3399</v>
      </c>
      <c r="D79" s="1002">
        <f t="shared" si="17"/>
        <v>5.7000000000000002E-3</v>
      </c>
      <c r="E79" s="705"/>
      <c r="F79" s="1674"/>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3399</v>
      </c>
      <c r="D80" s="1002">
        <f t="shared" si="17"/>
        <v>2.3999999999999998E-3</v>
      </c>
      <c r="E80" s="706"/>
      <c r="F80" s="1674"/>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3273</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7" t="s">
        <v>3297</v>
      </c>
      <c r="B103" s="3477"/>
      <c r="C103" s="3477"/>
      <c r="D103" s="3477"/>
      <c r="E103" s="3477"/>
      <c r="F103" s="3477"/>
      <c r="G103" s="3477"/>
      <c r="H103" s="3477"/>
      <c r="I103" s="3477"/>
      <c r="J103" s="3477"/>
      <c r="K103" s="1666"/>
      <c r="L103" s="1666"/>
      <c r="M103" s="1666"/>
      <c r="N103" s="1666"/>
    </row>
    <row r="104" spans="1:14">
      <c r="A104" s="3478" t="s">
        <v>3298</v>
      </c>
      <c r="B104" s="3478" t="s">
        <v>3299</v>
      </c>
      <c r="C104" s="3090" t="s">
        <v>3300</v>
      </c>
      <c r="D104" s="3091"/>
      <c r="E104" s="3091"/>
      <c r="F104" s="3091"/>
      <c r="G104" s="3091"/>
      <c r="H104" s="3091"/>
      <c r="I104" s="3091"/>
      <c r="J104" s="3092"/>
      <c r="K104" s="3093"/>
      <c r="L104" s="3093"/>
      <c r="M104" s="3093"/>
      <c r="N104" s="3093"/>
    </row>
    <row r="105" spans="1:14">
      <c r="A105" s="3478"/>
      <c r="B105" s="3478"/>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64"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5"/>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7" t="s">
        <v>3314</v>
      </c>
      <c r="B113" s="3467"/>
      <c r="C113" s="3467"/>
      <c r="D113" s="3467"/>
      <c r="E113" s="3467"/>
      <c r="F113" s="3467"/>
      <c r="G113" s="3467"/>
      <c r="H113" s="3467"/>
      <c r="I113" s="3467"/>
      <c r="J113" s="346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2.5</v>
      </c>
      <c r="C116" s="3099" t="s">
        <v>3316</v>
      </c>
      <c r="D116" s="3100">
        <f>SUMPRODUCT((A118:A122=F116)*(B117:M117=H116)*B118:M122)</f>
        <v>0.90080000000000005</v>
      </c>
      <c r="E116" s="162" t="s">
        <v>3317</v>
      </c>
      <c r="F116" s="3101" t="str">
        <f>E2</f>
        <v>住宅</v>
      </c>
      <c r="G116" s="162" t="s">
        <v>3318</v>
      </c>
      <c r="H116" s="3101" t="str">
        <f>G2</f>
        <v>五级</v>
      </c>
      <c r="I116" s="162"/>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3332</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3333</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3334</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2615</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92" t="s">
        <v>2610</v>
      </c>
      <c r="B20" s="3487" t="s">
        <v>2631</v>
      </c>
      <c r="C20" s="2842" t="s">
        <v>2442</v>
      </c>
      <c r="D20" s="2843"/>
      <c r="E20" s="2844">
        <v>1</v>
      </c>
      <c r="F20" s="2845" t="s">
        <v>2443</v>
      </c>
      <c r="G20" s="2845"/>
    </row>
    <row r="21" spans="1:13" ht="19.5" customHeight="1">
      <c r="A21" s="3493"/>
      <c r="B21" s="3486"/>
      <c r="C21" s="2846" t="s">
        <v>2444</v>
      </c>
      <c r="D21" s="2847"/>
      <c r="E21" s="2848">
        <v>1</v>
      </c>
      <c r="F21" s="2845" t="s">
        <v>2445</v>
      </c>
      <c r="G21" s="2845"/>
    </row>
    <row r="22" spans="1:13" ht="19.5" customHeight="1">
      <c r="A22" s="3493"/>
      <c r="B22" s="3486"/>
      <c r="C22" s="2846" t="s">
        <v>2446</v>
      </c>
      <c r="D22" s="2847"/>
      <c r="E22" s="2848">
        <v>0.9</v>
      </c>
      <c r="F22" s="2845" t="s">
        <v>2447</v>
      </c>
      <c r="G22" s="2845"/>
    </row>
    <row r="23" spans="1:13" ht="19.5" customHeight="1">
      <c r="A23" s="3493"/>
      <c r="B23" s="3486"/>
      <c r="C23" s="2846" t="s">
        <v>2448</v>
      </c>
      <c r="D23" s="2847"/>
      <c r="E23" s="2848">
        <v>0.9</v>
      </c>
      <c r="F23" s="2845" t="s">
        <v>2449</v>
      </c>
      <c r="G23" s="2845"/>
    </row>
    <row r="24" spans="1:13" ht="19.5" customHeight="1">
      <c r="A24" s="3493"/>
      <c r="B24" s="3486"/>
      <c r="C24" s="2846" t="s">
        <v>2450</v>
      </c>
      <c r="D24" s="2847"/>
      <c r="E24" s="2848">
        <v>0.8</v>
      </c>
      <c r="F24" s="2845" t="s">
        <v>2451</v>
      </c>
      <c r="G24" s="2845"/>
    </row>
    <row r="25" spans="1:13" ht="19.5" customHeight="1" thickBot="1">
      <c r="A25" s="3494"/>
      <c r="B25" s="3488"/>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89" t="s">
        <v>2634</v>
      </c>
      <c r="B27" s="3487" t="s">
        <v>2615</v>
      </c>
      <c r="C27" s="2842" t="s">
        <v>2455</v>
      </c>
      <c r="D27" s="2843"/>
      <c r="E27" s="2844">
        <v>1</v>
      </c>
      <c r="F27" s="2845" t="s">
        <v>2456</v>
      </c>
      <c r="G27" s="2845"/>
    </row>
    <row r="28" spans="1:13" ht="19.5" customHeight="1">
      <c r="A28" s="3490"/>
      <c r="B28" s="3486"/>
      <c r="C28" s="2846" t="s">
        <v>2457</v>
      </c>
      <c r="D28" s="2847"/>
      <c r="E28" s="2848">
        <v>1</v>
      </c>
      <c r="F28" s="2845" t="s">
        <v>2458</v>
      </c>
      <c r="G28" s="2845"/>
    </row>
    <row r="29" spans="1:13" ht="19.5" customHeight="1">
      <c r="A29" s="3490"/>
      <c r="B29" s="3486"/>
      <c r="C29" s="2846" t="s">
        <v>2459</v>
      </c>
      <c r="D29" s="2847"/>
      <c r="E29" s="2848">
        <v>0.8</v>
      </c>
      <c r="F29" s="2845" t="s">
        <v>2460</v>
      </c>
      <c r="G29" s="2845"/>
    </row>
    <row r="30" spans="1:13" ht="19.5" customHeight="1">
      <c r="A30" s="3490"/>
      <c r="B30" s="3486"/>
      <c r="C30" s="2846" t="s">
        <v>2461</v>
      </c>
      <c r="D30" s="2847"/>
      <c r="E30" s="2848">
        <v>0.8</v>
      </c>
      <c r="F30" s="2845" t="s">
        <v>2462</v>
      </c>
      <c r="G30" s="2845"/>
    </row>
    <row r="31" spans="1:13" ht="19.5" customHeight="1">
      <c r="A31" s="3490"/>
      <c r="B31" s="3486"/>
      <c r="C31" s="2846" t="s">
        <v>2463</v>
      </c>
      <c r="D31" s="2847"/>
      <c r="E31" s="2848">
        <v>0.8</v>
      </c>
      <c r="F31" s="2845" t="s">
        <v>2464</v>
      </c>
      <c r="G31" s="2845"/>
    </row>
    <row r="32" spans="1:13" ht="19.5" customHeight="1">
      <c r="A32" s="3490"/>
      <c r="B32" s="3486"/>
      <c r="C32" s="2846" t="s">
        <v>2465</v>
      </c>
      <c r="D32" s="2847"/>
      <c r="E32" s="2848">
        <v>0.7</v>
      </c>
      <c r="F32" s="2845" t="s">
        <v>2466</v>
      </c>
      <c r="G32" s="2845"/>
    </row>
    <row r="33" spans="1:7" ht="19.5" customHeight="1">
      <c r="A33" s="3490"/>
      <c r="B33" s="3486"/>
      <c r="C33" s="2846" t="s">
        <v>2467</v>
      </c>
      <c r="D33" s="2847"/>
      <c r="E33" s="2848">
        <v>0.8</v>
      </c>
      <c r="F33" s="2845" t="s">
        <v>2468</v>
      </c>
      <c r="G33" s="2845"/>
    </row>
    <row r="34" spans="1:7" ht="19.5" customHeight="1">
      <c r="A34" s="3490"/>
      <c r="B34" s="3486"/>
      <c r="C34" s="2846" t="s">
        <v>2469</v>
      </c>
      <c r="D34" s="2847"/>
      <c r="E34" s="2848">
        <v>0.6</v>
      </c>
      <c r="F34" s="2845" t="s">
        <v>2470</v>
      </c>
      <c r="G34" s="2845"/>
    </row>
    <row r="35" spans="1:7" ht="19.5" customHeight="1">
      <c r="A35" s="3490"/>
      <c r="B35" s="3486"/>
      <c r="C35" s="2846" t="s">
        <v>2471</v>
      </c>
      <c r="D35" s="2847"/>
      <c r="E35" s="2848">
        <v>0.2</v>
      </c>
      <c r="F35" s="2845" t="s">
        <v>2472</v>
      </c>
      <c r="G35" s="2845"/>
    </row>
    <row r="36" spans="1:7" ht="19.5" customHeight="1">
      <c r="A36" s="3490"/>
      <c r="B36" s="3486"/>
      <c r="C36" s="2846" t="s">
        <v>2473</v>
      </c>
      <c r="D36" s="2847"/>
      <c r="E36" s="2848">
        <v>0.2</v>
      </c>
      <c r="F36" s="2845" t="s">
        <v>2474</v>
      </c>
      <c r="G36" s="2845"/>
    </row>
    <row r="37" spans="1:7" ht="19.5" customHeight="1">
      <c r="A37" s="3490"/>
      <c r="B37" s="3484" t="s">
        <v>2635</v>
      </c>
      <c r="C37" s="2846" t="s">
        <v>2475</v>
      </c>
      <c r="D37" s="2847"/>
      <c r="E37" s="2848">
        <v>0.6</v>
      </c>
      <c r="F37" s="2845" t="s">
        <v>2476</v>
      </c>
      <c r="G37" s="2845"/>
    </row>
    <row r="38" spans="1:7" ht="19.5" customHeight="1">
      <c r="A38" s="3490"/>
      <c r="B38" s="3486"/>
      <c r="C38" s="2846" t="s">
        <v>2477</v>
      </c>
      <c r="D38" s="2847"/>
      <c r="E38" s="2848">
        <v>0.6</v>
      </c>
      <c r="F38" s="2845" t="s">
        <v>2478</v>
      </c>
      <c r="G38" s="2845"/>
    </row>
    <row r="39" spans="1:7" ht="19.5" customHeight="1" thickBot="1">
      <c r="A39" s="3491"/>
      <c r="B39" s="3488"/>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92" t="s">
        <v>2613</v>
      </c>
      <c r="B41" s="3487" t="s">
        <v>2637</v>
      </c>
      <c r="C41" s="2842" t="s">
        <v>2482</v>
      </c>
      <c r="D41" s="2843"/>
      <c r="E41" s="2844">
        <v>1</v>
      </c>
      <c r="F41" s="2845" t="s">
        <v>2483</v>
      </c>
      <c r="G41" s="2845"/>
    </row>
    <row r="42" spans="1:7" ht="19.5" customHeight="1">
      <c r="A42" s="3493"/>
      <c r="B42" s="3486"/>
      <c r="C42" s="2846" t="s">
        <v>2484</v>
      </c>
      <c r="D42" s="2847"/>
      <c r="E42" s="2848">
        <v>1</v>
      </c>
      <c r="F42" s="2845" t="s">
        <v>2485</v>
      </c>
      <c r="G42" s="2845"/>
    </row>
    <row r="43" spans="1:7" ht="19.5" customHeight="1">
      <c r="A43" s="3493"/>
      <c r="B43" s="3485"/>
      <c r="C43" s="2846" t="s">
        <v>2486</v>
      </c>
      <c r="D43" s="2847"/>
      <c r="E43" s="2848">
        <v>1.5</v>
      </c>
      <c r="F43" s="2845" t="s">
        <v>2487</v>
      </c>
      <c r="G43" s="2845"/>
    </row>
    <row r="44" spans="1:7" ht="19.5" customHeight="1">
      <c r="A44" s="3493"/>
      <c r="B44" s="2857" t="s">
        <v>2638</v>
      </c>
      <c r="C44" s="2846" t="s">
        <v>2639</v>
      </c>
      <c r="D44" s="2847"/>
      <c r="E44" s="2848">
        <v>2</v>
      </c>
      <c r="F44" s="2845" t="s">
        <v>2488</v>
      </c>
      <c r="G44" s="2845"/>
    </row>
    <row r="45" spans="1:7" ht="19.5" customHeight="1">
      <c r="A45" s="3493"/>
      <c r="B45" s="3484" t="s">
        <v>2640</v>
      </c>
      <c r="C45" s="2846" t="s">
        <v>2489</v>
      </c>
      <c r="D45" s="2847"/>
      <c r="E45" s="2848">
        <v>1</v>
      </c>
      <c r="F45" s="2845" t="s">
        <v>2490</v>
      </c>
      <c r="G45" s="2845"/>
    </row>
    <row r="46" spans="1:7" ht="19.5" customHeight="1">
      <c r="A46" s="3493"/>
      <c r="B46" s="3486"/>
      <c r="C46" s="2846" t="s">
        <v>2491</v>
      </c>
      <c r="D46" s="2847"/>
      <c r="E46" s="2848">
        <v>1</v>
      </c>
      <c r="F46" s="2845" t="s">
        <v>2492</v>
      </c>
      <c r="G46" s="2845"/>
    </row>
    <row r="47" spans="1:7" ht="19.5" customHeight="1">
      <c r="A47" s="3493"/>
      <c r="B47" s="3486"/>
      <c r="C47" s="2846" t="s">
        <v>2493</v>
      </c>
      <c r="D47" s="2847"/>
      <c r="E47" s="2848">
        <v>1</v>
      </c>
      <c r="F47" s="2845" t="s">
        <v>2494</v>
      </c>
      <c r="G47" s="2845"/>
    </row>
    <row r="48" spans="1:7" ht="19.5" customHeight="1">
      <c r="A48" s="3493"/>
      <c r="B48" s="3486"/>
      <c r="C48" s="2846" t="s">
        <v>2495</v>
      </c>
      <c r="D48" s="2847"/>
      <c r="E48" s="2848">
        <v>1</v>
      </c>
      <c r="F48" s="2845" t="s">
        <v>2496</v>
      </c>
      <c r="G48" s="2845"/>
    </row>
    <row r="49" spans="1:7" ht="19.5" customHeight="1">
      <c r="A49" s="3493"/>
      <c r="B49" s="3486"/>
      <c r="C49" s="2846" t="s">
        <v>2497</v>
      </c>
      <c r="D49" s="2847"/>
      <c r="E49" s="2848">
        <v>1</v>
      </c>
      <c r="F49" s="2845" t="s">
        <v>2498</v>
      </c>
      <c r="G49" s="2845"/>
    </row>
    <row r="50" spans="1:7" ht="19.5" customHeight="1">
      <c r="A50" s="3493"/>
      <c r="B50" s="3486"/>
      <c r="C50" s="2846" t="s">
        <v>2499</v>
      </c>
      <c r="D50" s="2847"/>
      <c r="E50" s="2848">
        <v>1</v>
      </c>
      <c r="F50" s="2845" t="s">
        <v>2500</v>
      </c>
      <c r="G50" s="2845"/>
    </row>
    <row r="51" spans="1:7" ht="19.5" customHeight="1" thickBot="1">
      <c r="A51" s="3494"/>
      <c r="B51" s="3488"/>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84" t="s">
        <v>2654</v>
      </c>
      <c r="C73" s="2831" t="s">
        <v>2655</v>
      </c>
      <c r="D73" s="2831" t="s">
        <v>2656</v>
      </c>
      <c r="E73" s="2857">
        <v>0.2</v>
      </c>
      <c r="F73" s="2857">
        <v>25</v>
      </c>
    </row>
    <row r="74" spans="1:7" ht="24">
      <c r="A74" s="2857">
        <v>2</v>
      </c>
      <c r="B74" s="3486"/>
      <c r="C74" s="2831" t="s">
        <v>2657</v>
      </c>
      <c r="D74" s="2831" t="s">
        <v>2658</v>
      </c>
      <c r="E74" s="2857">
        <v>0.2</v>
      </c>
      <c r="F74" s="2857">
        <v>25</v>
      </c>
    </row>
    <row r="75" spans="1:7" ht="24">
      <c r="A75" s="2857">
        <v>3</v>
      </c>
      <c r="B75" s="3486"/>
      <c r="C75" s="2831" t="s">
        <v>2659</v>
      </c>
      <c r="D75" s="2831" t="s">
        <v>2660</v>
      </c>
      <c r="E75" s="2857">
        <v>0.2</v>
      </c>
      <c r="F75" s="2857">
        <v>25</v>
      </c>
    </row>
    <row r="76" spans="1:7" ht="13.5">
      <c r="A76" s="2857">
        <v>4</v>
      </c>
      <c r="B76" s="3486"/>
      <c r="C76" s="2831" t="s">
        <v>2661</v>
      </c>
      <c r="D76" s="2831" t="s">
        <v>2662</v>
      </c>
      <c r="E76" s="2857">
        <v>0.15</v>
      </c>
      <c r="F76" s="2857">
        <v>20</v>
      </c>
    </row>
    <row r="77" spans="1:7" ht="24">
      <c r="A77" s="2857">
        <v>5</v>
      </c>
      <c r="B77" s="3486"/>
      <c r="C77" s="2831" t="s">
        <v>2663</v>
      </c>
      <c r="D77" s="2831" t="s">
        <v>2664</v>
      </c>
      <c r="E77" s="2857">
        <v>0.15</v>
      </c>
      <c r="F77" s="2857">
        <v>20</v>
      </c>
    </row>
    <row r="78" spans="1:7" ht="24">
      <c r="A78" s="2857">
        <v>6</v>
      </c>
      <c r="B78" s="3486"/>
      <c r="C78" s="2831" t="s">
        <v>2665</v>
      </c>
      <c r="D78" s="2831" t="s">
        <v>2666</v>
      </c>
      <c r="E78" s="2857">
        <v>0.15</v>
      </c>
      <c r="F78" s="2857">
        <v>20</v>
      </c>
    </row>
    <row r="79" spans="1:7" ht="24">
      <c r="A79" s="2857">
        <v>7</v>
      </c>
      <c r="B79" s="3486"/>
      <c r="C79" s="2831" t="s">
        <v>2667</v>
      </c>
      <c r="D79" s="2831" t="s">
        <v>2668</v>
      </c>
      <c r="E79" s="2857">
        <v>0.15</v>
      </c>
      <c r="F79" s="2857">
        <v>20</v>
      </c>
    </row>
    <row r="80" spans="1:7" ht="24">
      <c r="A80" s="2857">
        <v>8</v>
      </c>
      <c r="B80" s="3486"/>
      <c r="C80" s="2831" t="s">
        <v>2669</v>
      </c>
      <c r="D80" s="2831" t="s">
        <v>2670</v>
      </c>
      <c r="E80" s="2857">
        <v>0.1</v>
      </c>
      <c r="F80" s="2857">
        <v>15</v>
      </c>
    </row>
    <row r="81" spans="1:6" ht="24">
      <c r="A81" s="2857">
        <v>9</v>
      </c>
      <c r="B81" s="3486"/>
      <c r="C81" s="2831" t="s">
        <v>2671</v>
      </c>
      <c r="D81" s="2831" t="s">
        <v>2672</v>
      </c>
      <c r="E81" s="2857">
        <v>0.1</v>
      </c>
      <c r="F81" s="2857">
        <v>15</v>
      </c>
    </row>
    <row r="82" spans="1:6" ht="24">
      <c r="A82" s="2857">
        <v>10</v>
      </c>
      <c r="B82" s="3486"/>
      <c r="C82" s="2831" t="s">
        <v>2673</v>
      </c>
      <c r="D82" s="2831" t="s">
        <v>2674</v>
      </c>
      <c r="E82" s="2857">
        <v>0.1</v>
      </c>
      <c r="F82" s="2857">
        <v>15</v>
      </c>
    </row>
    <row r="83" spans="1:6" ht="24">
      <c r="A83" s="2857">
        <v>11</v>
      </c>
      <c r="B83" s="3486"/>
      <c r="C83" s="2831" t="s">
        <v>2675</v>
      </c>
      <c r="D83" s="2831" t="s">
        <v>2676</v>
      </c>
      <c r="E83" s="2857">
        <v>0.1</v>
      </c>
      <c r="F83" s="2857">
        <v>15</v>
      </c>
    </row>
    <row r="84" spans="1:6" ht="24">
      <c r="A84" s="2857">
        <v>12</v>
      </c>
      <c r="B84" s="3486"/>
      <c r="C84" s="2831" t="s">
        <v>2677</v>
      </c>
      <c r="D84" s="2831" t="s">
        <v>2678</v>
      </c>
      <c r="E84" s="2857">
        <v>0.1</v>
      </c>
      <c r="F84" s="2857">
        <v>15</v>
      </c>
    </row>
    <row r="85" spans="1:6" ht="13.5">
      <c r="A85" s="2857">
        <v>13</v>
      </c>
      <c r="B85" s="3486"/>
      <c r="C85" s="2831" t="s">
        <v>2679</v>
      </c>
      <c r="D85" s="2831" t="s">
        <v>2680</v>
      </c>
      <c r="E85" s="2857">
        <v>0.1</v>
      </c>
      <c r="F85" s="2857">
        <v>15</v>
      </c>
    </row>
    <row r="86" spans="1:6" ht="13.5">
      <c r="A86" s="2857">
        <v>14</v>
      </c>
      <c r="B86" s="3486"/>
      <c r="C86" s="2831" t="s">
        <v>2681</v>
      </c>
      <c r="D86" s="2831" t="s">
        <v>2682</v>
      </c>
      <c r="E86" s="2857">
        <v>0.1</v>
      </c>
      <c r="F86" s="2857">
        <v>15</v>
      </c>
    </row>
    <row r="87" spans="1:6" ht="13.5">
      <c r="A87" s="2857">
        <v>15</v>
      </c>
      <c r="B87" s="3486"/>
      <c r="C87" s="2831" t="s">
        <v>2683</v>
      </c>
      <c r="D87" s="2831" t="s">
        <v>2684</v>
      </c>
      <c r="E87" s="2857">
        <v>0.1</v>
      </c>
      <c r="F87" s="2857">
        <v>15</v>
      </c>
    </row>
    <row r="88" spans="1:6" ht="24">
      <c r="A88" s="2857">
        <v>16</v>
      </c>
      <c r="B88" s="3486"/>
      <c r="C88" s="2831" t="s">
        <v>2685</v>
      </c>
      <c r="D88" s="2831" t="s">
        <v>2686</v>
      </c>
      <c r="E88" s="2857">
        <v>0.1</v>
      </c>
      <c r="F88" s="2857">
        <v>15</v>
      </c>
    </row>
    <row r="89" spans="1:6" ht="24">
      <c r="A89" s="2857">
        <v>17</v>
      </c>
      <c r="B89" s="3485"/>
      <c r="C89" s="2831" t="s">
        <v>2687</v>
      </c>
      <c r="D89" s="2831" t="s">
        <v>2688</v>
      </c>
      <c r="E89" s="2857">
        <v>0.1</v>
      </c>
      <c r="F89" s="2857">
        <v>15</v>
      </c>
    </row>
    <row r="90" spans="1:6" ht="13.5">
      <c r="A90" s="2857">
        <v>18</v>
      </c>
      <c r="B90" s="3484" t="s">
        <v>2689</v>
      </c>
      <c r="C90" s="2831" t="s">
        <v>2690</v>
      </c>
      <c r="D90" s="2831" t="s">
        <v>2691</v>
      </c>
      <c r="E90" s="2857">
        <v>0.2</v>
      </c>
      <c r="F90" s="2857">
        <v>25</v>
      </c>
    </row>
    <row r="91" spans="1:6" ht="24">
      <c r="A91" s="2857">
        <v>19</v>
      </c>
      <c r="B91" s="3486"/>
      <c r="C91" s="2831" t="s">
        <v>2692</v>
      </c>
      <c r="D91" s="2831" t="s">
        <v>2693</v>
      </c>
      <c r="E91" s="2857">
        <v>0.2</v>
      </c>
      <c r="F91" s="2857">
        <v>25</v>
      </c>
    </row>
    <row r="92" spans="1:6" ht="13.5">
      <c r="A92" s="2857">
        <v>20</v>
      </c>
      <c r="B92" s="3486"/>
      <c r="C92" s="2831" t="s">
        <v>2694</v>
      </c>
      <c r="D92" s="2831" t="s">
        <v>2695</v>
      </c>
      <c r="E92" s="2857">
        <v>0.15</v>
      </c>
      <c r="F92" s="2857">
        <v>20</v>
      </c>
    </row>
    <row r="93" spans="1:6" ht="13.5">
      <c r="A93" s="2857">
        <v>21</v>
      </c>
      <c r="B93" s="3486"/>
      <c r="C93" s="2831" t="s">
        <v>2696</v>
      </c>
      <c r="D93" s="2831" t="s">
        <v>2697</v>
      </c>
      <c r="E93" s="2857">
        <v>0.15</v>
      </c>
      <c r="F93" s="2857">
        <v>20</v>
      </c>
    </row>
    <row r="94" spans="1:6" ht="13.5">
      <c r="A94" s="2857">
        <v>22</v>
      </c>
      <c r="B94" s="3486"/>
      <c r="C94" s="2831" t="s">
        <v>2698</v>
      </c>
      <c r="D94" s="2831" t="s">
        <v>2699</v>
      </c>
      <c r="E94" s="2857">
        <v>0.15</v>
      </c>
      <c r="F94" s="2857">
        <v>20</v>
      </c>
    </row>
    <row r="95" spans="1:6" ht="36">
      <c r="A95" s="2857">
        <v>23</v>
      </c>
      <c r="B95" s="3486"/>
      <c r="C95" s="2831" t="s">
        <v>2700</v>
      </c>
      <c r="D95" s="2831" t="s">
        <v>2701</v>
      </c>
      <c r="E95" s="2857">
        <v>0.15</v>
      </c>
      <c r="F95" s="2857">
        <v>20</v>
      </c>
    </row>
    <row r="96" spans="1:6" ht="13.5">
      <c r="A96" s="2857">
        <v>24</v>
      </c>
      <c r="B96" s="3486"/>
      <c r="C96" s="2831" t="s">
        <v>2702</v>
      </c>
      <c r="D96" s="2831" t="s">
        <v>2703</v>
      </c>
      <c r="E96" s="2857">
        <v>0.1</v>
      </c>
      <c r="F96" s="2857">
        <v>15</v>
      </c>
    </row>
    <row r="97" spans="1:6" ht="13.5">
      <c r="A97" s="2857">
        <v>25</v>
      </c>
      <c r="B97" s="3486"/>
      <c r="C97" s="2831" t="s">
        <v>2704</v>
      </c>
      <c r="D97" s="2831" t="s">
        <v>2705</v>
      </c>
      <c r="E97" s="2857">
        <v>0.1</v>
      </c>
      <c r="F97" s="2857">
        <v>15</v>
      </c>
    </row>
    <row r="98" spans="1:6" ht="24">
      <c r="A98" s="2857">
        <v>26</v>
      </c>
      <c r="B98" s="3486"/>
      <c r="C98" s="2831" t="s">
        <v>2706</v>
      </c>
      <c r="D98" s="2831" t="s">
        <v>2707</v>
      </c>
      <c r="E98" s="2857">
        <v>0.1</v>
      </c>
      <c r="F98" s="2857">
        <v>15</v>
      </c>
    </row>
    <row r="99" spans="1:6" ht="24">
      <c r="A99" s="2857">
        <v>27</v>
      </c>
      <c r="B99" s="3486"/>
      <c r="C99" s="2831" t="s">
        <v>2708</v>
      </c>
      <c r="D99" s="2831" t="s">
        <v>2709</v>
      </c>
      <c r="E99" s="2857">
        <v>0.1</v>
      </c>
      <c r="F99" s="2857">
        <v>15</v>
      </c>
    </row>
    <row r="100" spans="1:6" ht="13.5">
      <c r="A100" s="2857">
        <v>28</v>
      </c>
      <c r="B100" s="3486"/>
      <c r="C100" s="2831" t="s">
        <v>2710</v>
      </c>
      <c r="D100" s="2831" t="s">
        <v>2711</v>
      </c>
      <c r="E100" s="2857">
        <v>0.1</v>
      </c>
      <c r="F100" s="2857">
        <v>15</v>
      </c>
    </row>
    <row r="101" spans="1:6" ht="13.5">
      <c r="A101" s="2857">
        <v>29</v>
      </c>
      <c r="B101" s="3486"/>
      <c r="C101" s="2831" t="s">
        <v>2712</v>
      </c>
      <c r="D101" s="2831" t="s">
        <v>2713</v>
      </c>
      <c r="E101" s="2857">
        <v>0.1</v>
      </c>
      <c r="F101" s="2857">
        <v>15</v>
      </c>
    </row>
    <row r="102" spans="1:6" ht="13.5">
      <c r="A102" s="2857">
        <v>30</v>
      </c>
      <c r="B102" s="3486"/>
      <c r="C102" s="2831" t="s">
        <v>2714</v>
      </c>
      <c r="D102" s="2831" t="s">
        <v>2715</v>
      </c>
      <c r="E102" s="2857">
        <v>0.1</v>
      </c>
      <c r="F102" s="2857">
        <v>15</v>
      </c>
    </row>
    <row r="103" spans="1:6" ht="24">
      <c r="A103" s="2857">
        <v>31</v>
      </c>
      <c r="B103" s="3486"/>
      <c r="C103" s="2831" t="s">
        <v>2716</v>
      </c>
      <c r="D103" s="2831" t="s">
        <v>2717</v>
      </c>
      <c r="E103" s="2857">
        <v>0.1</v>
      </c>
      <c r="F103" s="2857">
        <v>15</v>
      </c>
    </row>
    <row r="104" spans="1:6" ht="24">
      <c r="A104" s="2857">
        <v>32</v>
      </c>
      <c r="B104" s="3486"/>
      <c r="C104" s="2831" t="s">
        <v>2718</v>
      </c>
      <c r="D104" s="2831" t="s">
        <v>2719</v>
      </c>
      <c r="E104" s="2857">
        <v>0.1</v>
      </c>
      <c r="F104" s="2857">
        <v>15</v>
      </c>
    </row>
    <row r="105" spans="1:6" ht="24">
      <c r="A105" s="2857">
        <v>33</v>
      </c>
      <c r="B105" s="3486"/>
      <c r="C105" s="2831" t="s">
        <v>2720</v>
      </c>
      <c r="D105" s="2831" t="s">
        <v>2721</v>
      </c>
      <c r="E105" s="2857">
        <v>0.1</v>
      </c>
      <c r="F105" s="2857">
        <v>15</v>
      </c>
    </row>
    <row r="106" spans="1:6" ht="24">
      <c r="A106" s="2857">
        <v>34</v>
      </c>
      <c r="B106" s="3485"/>
      <c r="C106" s="2831" t="s">
        <v>2722</v>
      </c>
      <c r="D106" s="2831" t="s">
        <v>2723</v>
      </c>
      <c r="E106" s="2857">
        <v>0.1</v>
      </c>
      <c r="F106" s="2857">
        <v>15</v>
      </c>
    </row>
    <row r="107" spans="1:6" ht="24">
      <c r="A107" s="2857">
        <v>35</v>
      </c>
      <c r="B107" s="3484" t="s">
        <v>2724</v>
      </c>
      <c r="C107" s="2857" t="s">
        <v>2725</v>
      </c>
      <c r="D107" s="2831" t="s">
        <v>2726</v>
      </c>
      <c r="E107" s="2857">
        <v>0.15</v>
      </c>
      <c r="F107" s="2857">
        <v>20</v>
      </c>
    </row>
    <row r="108" spans="1:6" ht="13.5">
      <c r="A108" s="2857">
        <v>36</v>
      </c>
      <c r="B108" s="3486"/>
      <c r="C108" s="2857" t="s">
        <v>2727</v>
      </c>
      <c r="D108" s="2831" t="s">
        <v>2728</v>
      </c>
      <c r="E108" s="2857">
        <v>0.15</v>
      </c>
      <c r="F108" s="2857">
        <v>20</v>
      </c>
    </row>
    <row r="109" spans="1:6" ht="13.5">
      <c r="A109" s="2857">
        <v>37</v>
      </c>
      <c r="B109" s="3486"/>
      <c r="C109" s="2857" t="s">
        <v>2729</v>
      </c>
      <c r="D109" s="2831" t="s">
        <v>2730</v>
      </c>
      <c r="E109" s="2857">
        <v>0.15</v>
      </c>
      <c r="F109" s="2857">
        <v>20</v>
      </c>
    </row>
    <row r="110" spans="1:6" ht="13.5">
      <c r="A110" s="2857">
        <v>38</v>
      </c>
      <c r="B110" s="3486"/>
      <c r="C110" s="2857" t="s">
        <v>2731</v>
      </c>
      <c r="D110" s="2831" t="s">
        <v>2732</v>
      </c>
      <c r="E110" s="2857">
        <v>0.1</v>
      </c>
      <c r="F110" s="2857">
        <v>15</v>
      </c>
    </row>
    <row r="111" spans="1:6" ht="24">
      <c r="A111" s="2857">
        <v>39</v>
      </c>
      <c r="B111" s="3486"/>
      <c r="C111" s="2857" t="s">
        <v>2733</v>
      </c>
      <c r="D111" s="2831" t="s">
        <v>2734</v>
      </c>
      <c r="E111" s="2857">
        <v>0.1</v>
      </c>
      <c r="F111" s="2857">
        <v>15</v>
      </c>
    </row>
    <row r="112" spans="1:6" ht="24">
      <c r="A112" s="2857">
        <v>40</v>
      </c>
      <c r="B112" s="3485"/>
      <c r="C112" s="2857" t="s">
        <v>2735</v>
      </c>
      <c r="D112" s="2831" t="s">
        <v>2736</v>
      </c>
      <c r="E112" s="2857">
        <v>0.1</v>
      </c>
      <c r="F112" s="2857">
        <v>15</v>
      </c>
    </row>
    <row r="113" spans="1:6" ht="13.5">
      <c r="A113" s="2857">
        <v>41</v>
      </c>
      <c r="B113" s="3483" t="s">
        <v>2737</v>
      </c>
      <c r="C113" s="2857" t="s">
        <v>2738</v>
      </c>
      <c r="D113" s="2831" t="s">
        <v>2739</v>
      </c>
      <c r="E113" s="2857">
        <v>0.1</v>
      </c>
      <c r="F113" s="2857">
        <v>15</v>
      </c>
    </row>
    <row r="114" spans="1:6" ht="13.5">
      <c r="A114" s="2857">
        <v>42</v>
      </c>
      <c r="B114" s="3483"/>
      <c r="C114" s="2857" t="s">
        <v>2740</v>
      </c>
      <c r="D114" s="2831" t="s">
        <v>2741</v>
      </c>
      <c r="E114" s="2857">
        <v>0.1</v>
      </c>
      <c r="F114" s="2857">
        <v>15</v>
      </c>
    </row>
    <row r="115" spans="1:6" ht="24">
      <c r="A115" s="2857">
        <v>43</v>
      </c>
      <c r="B115" s="3483"/>
      <c r="C115" s="2857" t="s">
        <v>2742</v>
      </c>
      <c r="D115" s="2831" t="s">
        <v>2743</v>
      </c>
      <c r="E115" s="2857">
        <v>0.1</v>
      </c>
      <c r="F115" s="2857">
        <v>15</v>
      </c>
    </row>
    <row r="116" spans="1:6" ht="13.5">
      <c r="A116" s="2857">
        <v>44</v>
      </c>
      <c r="B116" s="3484" t="s">
        <v>2744</v>
      </c>
      <c r="C116" s="2857" t="s">
        <v>2745</v>
      </c>
      <c r="D116" s="2831" t="s">
        <v>2746</v>
      </c>
      <c r="E116" s="2857">
        <v>0.1</v>
      </c>
      <c r="F116" s="2857">
        <v>15</v>
      </c>
    </row>
    <row r="117" spans="1:6" ht="24">
      <c r="A117" s="2857">
        <v>45</v>
      </c>
      <c r="B117" s="3485"/>
      <c r="C117" s="2831" t="s">
        <v>2747</v>
      </c>
      <c r="D117" s="2831" t="s">
        <v>2748</v>
      </c>
      <c r="E117" s="2857">
        <v>0.1</v>
      </c>
      <c r="F117" s="2857">
        <v>15</v>
      </c>
    </row>
    <row r="118" spans="1:6" ht="24">
      <c r="A118" s="2857">
        <v>46</v>
      </c>
      <c r="B118" s="3484" t="s">
        <v>2749</v>
      </c>
      <c r="C118" s="2857" t="s">
        <v>2750</v>
      </c>
      <c r="D118" s="2831" t="s">
        <v>2751</v>
      </c>
      <c r="E118" s="2857">
        <v>0.1</v>
      </c>
      <c r="F118" s="2857">
        <v>15</v>
      </c>
    </row>
    <row r="119" spans="1:6" ht="24">
      <c r="A119" s="2857">
        <v>47</v>
      </c>
      <c r="B119" s="3485"/>
      <c r="C119" s="2857" t="s">
        <v>2752</v>
      </c>
      <c r="D119" s="2831" t="s">
        <v>2753</v>
      </c>
      <c r="E119" s="2857">
        <v>0.1</v>
      </c>
      <c r="F119" s="2857">
        <v>15</v>
      </c>
    </row>
    <row r="120" spans="1:6" ht="13.5">
      <c r="A120" s="2857">
        <v>48</v>
      </c>
      <c r="B120" s="3484" t="s">
        <v>2754</v>
      </c>
      <c r="C120" s="2857" t="s">
        <v>2755</v>
      </c>
      <c r="D120" s="2831" t="s">
        <v>2756</v>
      </c>
      <c r="E120" s="2857">
        <v>0.1</v>
      </c>
      <c r="F120" s="2857">
        <v>15</v>
      </c>
    </row>
    <row r="121" spans="1:6" ht="13.5">
      <c r="A121" s="2857">
        <v>49</v>
      </c>
      <c r="B121" s="3485"/>
      <c r="C121" s="2857" t="s">
        <v>2757</v>
      </c>
      <c r="D121" s="2831" t="s">
        <v>2758</v>
      </c>
      <c r="E121" s="2857">
        <v>0.1</v>
      </c>
      <c r="F121" s="2857">
        <v>15</v>
      </c>
    </row>
    <row r="122" spans="1:6" ht="24">
      <c r="A122" s="2857">
        <v>50</v>
      </c>
      <c r="B122" s="3483" t="s">
        <v>2759</v>
      </c>
      <c r="C122" s="2857" t="s">
        <v>2760</v>
      </c>
      <c r="D122" s="2831" t="s">
        <v>2761</v>
      </c>
      <c r="E122" s="2857">
        <v>0.1</v>
      </c>
      <c r="F122" s="2857">
        <v>15</v>
      </c>
    </row>
    <row r="123" spans="1:6" ht="24">
      <c r="A123" s="2857">
        <v>51</v>
      </c>
      <c r="B123" s="3483"/>
      <c r="C123" s="2857" t="s">
        <v>2762</v>
      </c>
      <c r="D123" s="2831" t="s">
        <v>2763</v>
      </c>
      <c r="E123" s="2857">
        <v>0.1</v>
      </c>
      <c r="F123" s="2857">
        <v>15</v>
      </c>
    </row>
    <row r="124" spans="1:6" ht="24">
      <c r="A124" s="2857">
        <v>52</v>
      </c>
      <c r="B124" s="3483" t="s">
        <v>2764</v>
      </c>
      <c r="C124" s="2857" t="s">
        <v>2765</v>
      </c>
      <c r="D124" s="2831" t="s">
        <v>2766</v>
      </c>
      <c r="E124" s="2857">
        <v>0.1</v>
      </c>
      <c r="F124" s="2857">
        <v>15</v>
      </c>
    </row>
    <row r="125" spans="1:6" ht="24">
      <c r="A125" s="2857">
        <v>53</v>
      </c>
      <c r="B125" s="3483"/>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83" t="s">
        <v>2772</v>
      </c>
      <c r="C127" s="2857" t="s">
        <v>2773</v>
      </c>
      <c r="D127" s="2831" t="s">
        <v>2774</v>
      </c>
      <c r="E127" s="2857">
        <v>0.1</v>
      </c>
      <c r="F127" s="2857">
        <v>15</v>
      </c>
    </row>
    <row r="128" spans="1:6" ht="13.5">
      <c r="A128" s="2857">
        <v>56</v>
      </c>
      <c r="B128" s="3483"/>
      <c r="C128" s="2857" t="s">
        <v>2775</v>
      </c>
      <c r="D128" s="2831" t="s">
        <v>2776</v>
      </c>
      <c r="E128" s="2857">
        <v>0.1</v>
      </c>
      <c r="F128" s="2857">
        <v>15</v>
      </c>
    </row>
    <row r="129" spans="1:6" ht="24">
      <c r="A129" s="2857">
        <v>57</v>
      </c>
      <c r="B129" s="3483"/>
      <c r="C129" s="2857" t="s">
        <v>2777</v>
      </c>
      <c r="D129" s="2831" t="s">
        <v>2778</v>
      </c>
      <c r="E129" s="2857">
        <v>0.1</v>
      </c>
      <c r="F129" s="2857">
        <v>15</v>
      </c>
    </row>
    <row r="130" spans="1:6" ht="24">
      <c r="A130" s="2857">
        <v>58</v>
      </c>
      <c r="B130" s="3483" t="s">
        <v>2779</v>
      </c>
      <c r="C130" s="2857" t="s">
        <v>2780</v>
      </c>
      <c r="D130" s="2831" t="s">
        <v>2781</v>
      </c>
      <c r="E130" s="2857">
        <v>0.1</v>
      </c>
      <c r="F130" s="2857">
        <v>15</v>
      </c>
    </row>
    <row r="131" spans="1:6" ht="13.5">
      <c r="A131" s="2857">
        <v>59</v>
      </c>
      <c r="B131" s="3483"/>
      <c r="C131" s="2857" t="s">
        <v>2782</v>
      </c>
      <c r="D131" s="2831" t="s">
        <v>2783</v>
      </c>
      <c r="E131" s="2857">
        <v>0.1</v>
      </c>
      <c r="F131" s="2857">
        <v>15</v>
      </c>
    </row>
    <row r="132" spans="1:6" ht="13.5">
      <c r="A132" s="2857">
        <v>60</v>
      </c>
      <c r="B132" s="3484" t="s">
        <v>2784</v>
      </c>
      <c r="C132" s="2857" t="s">
        <v>2785</v>
      </c>
      <c r="D132" s="2831" t="s">
        <v>2786</v>
      </c>
      <c r="E132" s="2857">
        <v>0.1</v>
      </c>
      <c r="F132" s="2857">
        <v>15</v>
      </c>
    </row>
    <row r="133" spans="1:6" ht="13.5">
      <c r="A133" s="2857">
        <v>61</v>
      </c>
      <c r="B133" s="3485"/>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83" t="s">
        <v>2792</v>
      </c>
      <c r="C135" s="2857" t="s">
        <v>2793</v>
      </c>
      <c r="D135" s="2831" t="s">
        <v>2794</v>
      </c>
      <c r="E135" s="2857">
        <v>0.1</v>
      </c>
      <c r="F135" s="2857">
        <v>15</v>
      </c>
    </row>
    <row r="136" spans="1:6" ht="13.5">
      <c r="A136" s="2857">
        <v>64</v>
      </c>
      <c r="B136" s="3483"/>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估价结果一览表（市场价值不需“结果表-1”）</v>
      </c>
      <c r="B3" s="3180"/>
      <c r="C3" s="3180"/>
      <c r="D3" s="3180"/>
      <c r="E3" s="3180"/>
    </row>
    <row r="4" spans="1:5" ht="19.5" thickBot="1">
      <c r="A4" s="1390"/>
      <c r="B4" s="3178" t="s">
        <v>917</v>
      </c>
      <c r="C4" s="3178"/>
      <c r="D4" s="3178"/>
      <c r="E4" s="1390"/>
    </row>
    <row r="5" spans="1:5" ht="16.5" thickTop="1">
      <c r="B5" s="3176" t="s">
        <v>909</v>
      </c>
      <c r="C5" s="1391" t="s">
        <v>910</v>
      </c>
      <c r="D5" s="797" t="e">
        <f ca="1">结果表!H101</f>
        <v>#REF!</v>
      </c>
    </row>
    <row r="6" spans="1:5" ht="15.75">
      <c r="B6" s="3176"/>
      <c r="C6" s="1391" t="s">
        <v>911</v>
      </c>
      <c r="D6" s="797" t="e">
        <f ca="1">NUMBERSTRING(INT(D5*10000),2)&amp;"元整"</f>
        <v>#REF!</v>
      </c>
    </row>
    <row r="7" spans="1:5" ht="15.75">
      <c r="B7" s="3181"/>
      <c r="C7" s="1392" t="s">
        <v>912</v>
      </c>
      <c r="D7" s="798" t="e">
        <f ca="1">结果表!H102</f>
        <v>#REF!</v>
      </c>
    </row>
    <row r="8" spans="1:5" ht="15.75">
      <c r="B8" s="3182" t="str">
        <f>结果表!E103</f>
        <v>2.估价师知悉的法定优先受偿款</v>
      </c>
      <c r="C8" s="1393" t="s">
        <v>913</v>
      </c>
      <c r="D8" s="798">
        <f>结果表!H103</f>
        <v>0</v>
      </c>
    </row>
    <row r="9" spans="1:5" ht="15.75">
      <c r="B9" s="318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5" t="str">
        <f>结果表!E107</f>
        <v>3.房地产抵押价值</v>
      </c>
      <c r="C13" s="1396" t="s">
        <v>910</v>
      </c>
      <c r="D13" s="800" t="e">
        <f ca="1">结果表!H107</f>
        <v>#REF!</v>
      </c>
    </row>
    <row r="14" spans="1:5" ht="15.75">
      <c r="B14" s="3176"/>
      <c r="C14" s="1391" t="s">
        <v>911</v>
      </c>
      <c r="D14" s="797" t="e">
        <f ca="1">NUMBERSTRING(INT(D13*10000),2)&amp;"元整"</f>
        <v>#REF!</v>
      </c>
    </row>
    <row r="15" spans="1:5" ht="15">
      <c r="B15" s="3181"/>
      <c r="C15" s="1392" t="s">
        <v>921</v>
      </c>
      <c r="D15" s="806" t="e">
        <f ca="1">结果表!H108</f>
        <v>#REF!</v>
      </c>
    </row>
    <row r="16" spans="1:5" ht="15">
      <c r="B16" s="3182" t="str">
        <f>结果表!E109</f>
        <v>——</v>
      </c>
      <c r="C16" s="1396" t="s">
        <v>922</v>
      </c>
      <c r="D16" s="1397" t="str">
        <f>结果表!H109</f>
        <v>——</v>
      </c>
    </row>
    <row r="17" spans="1:5" ht="15.75">
      <c r="B17" s="3183"/>
      <c r="C17" s="1391" t="s">
        <v>923</v>
      </c>
      <c r="D17" s="797" t="e">
        <f>NUMBERSTRING(INT(D16*10000),2)&amp;"元整"</f>
        <v>#VALUE!</v>
      </c>
    </row>
    <row r="18" spans="1:5" ht="15">
      <c r="B18" s="3184"/>
      <c r="C18" s="1392" t="s">
        <v>912</v>
      </c>
      <c r="D18" s="806" t="str">
        <f>结果表!H110</f>
        <v>——</v>
      </c>
    </row>
    <row r="19" spans="1:5" ht="15.75">
      <c r="B19" s="3175" t="str">
        <f>结果表!E111</f>
        <v>——</v>
      </c>
      <c r="C19" s="1396" t="s">
        <v>910</v>
      </c>
      <c r="D19" s="798" t="str">
        <f>结果表!H111</f>
        <v>——</v>
      </c>
    </row>
    <row r="20" spans="1:5" ht="15.75">
      <c r="B20" s="3176"/>
      <c r="C20" s="1391" t="s">
        <v>923</v>
      </c>
      <c r="D20" s="797" t="e">
        <f>NUMBERSTRING(INT(D19*10000),2)&amp;"元整"</f>
        <v>#VALUE!</v>
      </c>
    </row>
    <row r="21" spans="1:5" ht="15.75" thickBot="1">
      <c r="B21" s="317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1</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0.95120000000000005</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28247</v>
      </c>
      <c r="C2" s="2" t="s">
        <v>106</v>
      </c>
      <c r="D2" s="191"/>
      <c r="E2" s="191"/>
      <c r="F2" s="191"/>
      <c r="G2" s="191"/>
    </row>
    <row r="3" spans="1:7" s="192" customFormat="1" ht="18" customHeight="1" thickBot="1">
      <c r="A3" s="195" t="s">
        <v>58</v>
      </c>
      <c r="B3" s="196">
        <f ca="1">ROUND(B2*10000/'数据-汇总表'!E3,0)</f>
        <v>1528021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2.9999999999999997E-4</v>
      </c>
      <c r="D44" s="230"/>
      <c r="E44" s="230"/>
      <c r="F44" s="231"/>
      <c r="G44" s="3358"/>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114</v>
      </c>
      <c r="D51" s="224"/>
      <c r="E51" s="224"/>
      <c r="F51" s="256"/>
      <c r="G51" s="226" t="s">
        <v>37</v>
      </c>
    </row>
    <row r="52" spans="1:7" s="200" customFormat="1" ht="16.5" thickBot="1">
      <c r="A52" s="257" t="s">
        <v>38</v>
      </c>
      <c r="B52" s="258"/>
      <c r="C52" s="259">
        <f ca="1">C31+C51</f>
        <v>28247</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7" t="s">
        <v>2842</v>
      </c>
      <c r="B1" s="3497"/>
      <c r="C1" s="3497"/>
      <c r="D1" s="3497"/>
      <c r="E1" s="3497"/>
      <c r="F1" s="3497"/>
      <c r="G1" s="3498"/>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95"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96"/>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9" t="s">
        <v>3184</v>
      </c>
      <c r="B1" s="3499"/>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500" t="s">
        <v>3235</v>
      </c>
      <c r="B1" s="3500"/>
      <c r="C1" s="3500"/>
      <c r="D1" s="3500"/>
      <c r="E1" s="3500"/>
      <c r="F1" s="3501"/>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45168</v>
      </c>
      <c r="B1" s="2929" t="s">
        <v>3374</v>
      </c>
      <c r="C1" s="2930"/>
      <c r="D1" s="2930"/>
      <c r="E1" s="2930"/>
      <c r="F1" s="2930"/>
      <c r="G1" s="2930"/>
      <c r="H1" s="2930"/>
      <c r="I1" s="2930"/>
      <c r="J1" s="2896"/>
      <c r="K1" s="2930" t="s">
        <v>454</v>
      </c>
      <c r="L1" s="2930"/>
      <c r="M1" s="2930"/>
      <c r="N1" s="2930"/>
      <c r="O1" s="2930"/>
      <c r="P1" s="2930"/>
      <c r="Q1" s="2896"/>
      <c r="R1" s="3502" t="s">
        <v>456</v>
      </c>
      <c r="S1" s="3503"/>
      <c r="T1" s="3503"/>
      <c r="U1" s="3503"/>
      <c r="V1" s="3503"/>
      <c r="W1" s="3503"/>
      <c r="X1" s="2896"/>
      <c r="Y1" s="3502" t="s">
        <v>457</v>
      </c>
      <c r="Z1" s="3503"/>
      <c r="AA1" s="3503"/>
      <c r="AB1" s="3503"/>
      <c r="AC1" s="3503"/>
      <c r="AD1" s="3503"/>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502" t="s">
        <v>2830</v>
      </c>
      <c r="S23" s="3503"/>
      <c r="T23" s="3503"/>
      <c r="U23" s="3503"/>
      <c r="V23" s="3503"/>
      <c r="W23" s="3503"/>
      <c r="X23" s="2896"/>
      <c r="Y23" s="3502" t="s">
        <v>2831</v>
      </c>
      <c r="Z23" s="3503"/>
      <c r="AA23" s="3503"/>
      <c r="AB23" s="3503"/>
      <c r="AC23" s="3503"/>
      <c r="AD23" s="3503"/>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M31"/>
  <sheetViews>
    <sheetView topLeftCell="A67" workbookViewId="0">
      <selection activeCell="M97" sqref="M97"/>
    </sheetView>
  </sheetViews>
  <sheetFormatPr defaultRowHeight="13.5"/>
  <sheetData>
    <row r="16" spans="10:11">
      <c r="J16" s="1404" t="s">
        <v>3386</v>
      </c>
      <c r="K16">
        <f>3.45*6</f>
        <v>20.700000000000003</v>
      </c>
    </row>
    <row r="30" spans="13:13">
      <c r="M30">
        <v>25000</v>
      </c>
    </row>
    <row r="31" spans="13:13">
      <c r="M31">
        <v>33000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9" sqref="H1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45168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估价结果一览表</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房地产市场价值</v>
      </c>
      <c r="I2" s="3193"/>
    </row>
    <row r="3" spans="1:9" ht="15">
      <c r="A3" s="3188"/>
      <c r="B3" s="3188"/>
      <c r="C3" s="3188"/>
      <c r="D3" s="801" t="s">
        <v>925</v>
      </c>
      <c r="E3" s="801" t="s">
        <v>931</v>
      </c>
      <c r="F3" s="801" t="s">
        <v>925</v>
      </c>
      <c r="G3" s="801" t="s">
        <v>926</v>
      </c>
      <c r="H3" s="801" t="s">
        <v>925</v>
      </c>
      <c r="I3" s="801" t="s">
        <v>926</v>
      </c>
    </row>
    <row r="4" spans="1:9" ht="15">
      <c r="A4" s="1402"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7" t="str">
        <f>结果表!A120</f>
        <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
      </c>
      <c r="B8" s="3187"/>
      <c r="C8" s="3187"/>
      <c r="D8" s="3187" t="e">
        <f ca="1">结果表!D122</f>
        <v>#REF!</v>
      </c>
      <c r="E8" s="3187"/>
      <c r="F8" s="3187"/>
      <c r="G8" s="3187"/>
      <c r="H8" s="3187"/>
      <c r="I8" s="3187"/>
    </row>
    <row r="9" spans="1:9" ht="15">
      <c r="A9" s="3188" t="s">
        <v>927</v>
      </c>
      <c r="B9" s="3188"/>
      <c r="C9" s="3188"/>
      <c r="D9" s="3188" t="e">
        <f ca="1">结果表!D123</f>
        <v>#REF!</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1" t="s">
        <v>939</v>
      </c>
      <c r="B6" s="3201"/>
      <c r="C6" s="3201"/>
      <c r="D6" s="320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8" t="s">
        <v>956</v>
      </c>
      <c r="B15" s="3203" t="s">
        <v>109</v>
      </c>
      <c r="C15" s="3204"/>
    </row>
    <row r="16" spans="1:7" ht="13.5">
      <c r="A16" s="3209"/>
      <c r="B16" s="3203" t="s">
        <v>42</v>
      </c>
      <c r="C16" s="3204"/>
    </row>
    <row r="17" spans="1:3" ht="13.5">
      <c r="A17" s="3209"/>
      <c r="B17" s="3206" t="s">
        <v>957</v>
      </c>
      <c r="C17" s="1428" t="s">
        <v>956</v>
      </c>
    </row>
    <row r="18" spans="1:3" ht="13.5">
      <c r="A18" s="3209"/>
      <c r="B18" s="3206"/>
      <c r="C18" s="1428" t="s">
        <v>958</v>
      </c>
    </row>
    <row r="19" spans="1:3" ht="13.5">
      <c r="A19" s="3209"/>
      <c r="B19" s="3206"/>
      <c r="C19" s="1428" t="s">
        <v>959</v>
      </c>
    </row>
    <row r="20" spans="1:3" ht="13.5">
      <c r="A20" s="3210"/>
      <c r="B20" s="3205" t="s">
        <v>960</v>
      </c>
      <c r="C20" s="3204"/>
    </row>
    <row r="21" spans="1:3" ht="13.5">
      <c r="A21" s="1429" t="s">
        <v>961</v>
      </c>
      <c r="B21" s="1430"/>
      <c r="C21" s="1431"/>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8" t="s">
        <v>967</v>
      </c>
    </row>
    <row r="26" spans="1:3" ht="13.5">
      <c r="A26" s="3207"/>
      <c r="B26" s="3206"/>
      <c r="C26" s="1428" t="s">
        <v>968</v>
      </c>
    </row>
    <row r="27" spans="1:3" ht="13.5">
      <c r="A27" s="3207"/>
      <c r="B27" s="3206"/>
      <c r="C27" s="1428" t="s">
        <v>969</v>
      </c>
    </row>
    <row r="28" spans="1:3" ht="13.5">
      <c r="A28" s="3207"/>
      <c r="B28" s="3206"/>
      <c r="C28" s="1428" t="s">
        <v>970</v>
      </c>
    </row>
    <row r="29" spans="1:3" ht="13.5">
      <c r="A29" s="3207"/>
      <c r="B29" s="3206"/>
      <c r="C29" s="1428" t="s">
        <v>971</v>
      </c>
    </row>
    <row r="30" spans="1:3" ht="13.5">
      <c r="A30" s="3207"/>
      <c r="B30" s="3206"/>
      <c r="C30" s="1428" t="s">
        <v>972</v>
      </c>
    </row>
    <row r="31" spans="1:3" ht="13.5">
      <c r="A31" s="3207"/>
      <c r="B31" s="3206"/>
      <c r="C31" s="1428" t="s">
        <v>973</v>
      </c>
    </row>
    <row r="32" spans="1:3" ht="13.5">
      <c r="A32" s="3207"/>
      <c r="B32" s="3206"/>
      <c r="C32" s="1428" t="s">
        <v>974</v>
      </c>
    </row>
    <row r="33" spans="1:3" ht="13.5">
      <c r="A33" s="3207"/>
      <c r="B33" s="320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45421</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9"/>
      <c r="E18" s="3213" t="s">
        <v>2162</v>
      </c>
      <c r="F18" s="3212"/>
      <c r="G18" s="321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租金</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2024-05-09T07:50:30Z</dcterms:modified>
</cp:coreProperties>
</file>