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codeName="ThisWorkbook" defaultThemeVersion="124226"/>
  <mc:AlternateContent xmlns:mc="http://schemas.openxmlformats.org/markup-compatibility/2006">
    <mc:Choice Requires="x15">
      <x15ac:absPath xmlns:x15ac="http://schemas.microsoft.com/office/spreadsheetml/2010/11/ac" url="/Users/Elver/Downloads/南昌-0327/"/>
    </mc:Choice>
  </mc:AlternateContent>
  <xr:revisionPtr revIDLastSave="0" documentId="13_ncr:1_{01736522-B141-294A-9FDB-0B44AC5918B6}" xr6:coauthVersionLast="45" xr6:coauthVersionMax="45" xr10:uidLastSave="{00000000-0000-0000-0000-000000000000}"/>
  <bookViews>
    <workbookView xWindow="0" yWindow="460" windowWidth="27320" windowHeight="13920" tabRatio="89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汇总" sheetId="77" r:id="rId13"/>
    <sheet name="建设单位-地块-组团-楼栋面积明细表" sheetId="82" r:id="rId14"/>
    <sheet name="工程规划" sheetId="81" r:id="rId15"/>
    <sheet name="Sheet3" sheetId="88" state="hidden" r:id="rId16"/>
    <sheet name="FGH地块预售情况" sheetId="89" state="hidden" r:id="rId17"/>
    <sheet name="五证办理进度" sheetId="84" state="hidden" r:id="rId18"/>
    <sheet name="南昌茵梦湖五证信息表" sheetId="83" state="hidden" r:id="rId19"/>
    <sheet name="抵押物清单（分楼）" sheetId="42" state="hidden" r:id="rId20"/>
    <sheet name="数据-汇总表" sheetId="6" r:id="rId21"/>
    <sheet name="数据-取费表" sheetId="1" r:id="rId22"/>
    <sheet name="估价对象房地状况" sheetId="20" state="hidden" r:id="rId23"/>
    <sheet name="系统读取表" sheetId="74" r:id="rId24"/>
    <sheet name="结果表" sheetId="9" r:id="rId25"/>
    <sheet name="成本法" sheetId="68" state="hidden" r:id="rId26"/>
    <sheet name="成本法 (元)" sheetId="69" state="hidden" r:id="rId27"/>
    <sheet name="土地比较法-住宅" sheetId="39" r:id="rId28"/>
    <sheet name="土地案例（南昌县-住宅）" sheetId="78" r:id="rId29"/>
    <sheet name="选取案例-住宅" sheetId="79" r:id="rId30"/>
    <sheet name="土地比较法-商业" sheetId="87" state="hidden" r:id="rId31"/>
    <sheet name="土地案例（南昌县-商业）" sheetId="86" state="hidden" r:id="rId32"/>
    <sheet name="假设开发法" sheetId="12" r:id="rId33"/>
    <sheet name="现房案例" sheetId="85" r:id="rId34"/>
    <sheet name="收益法" sheetId="15" state="hidden" r:id="rId35"/>
    <sheet name="收益法 (元)" sheetId="67" state="hidden" r:id="rId36"/>
    <sheet name="收益法（汇总）" sheetId="70" state="hidden" r:id="rId37"/>
    <sheet name="酒店收入计算" sheetId="66" state="hidden" r:id="rId38"/>
    <sheet name="比较法-住宅" sheetId="21" state="hidden"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工业" sheetId="40" state="hidden" r:id="rId45"/>
    <sheet name="基准地价修正" sheetId="43" state="hidden" r:id="rId46"/>
    <sheet name="修正" sheetId="45" state="hidden" r:id="rId47"/>
    <sheet name="容积率修正" sheetId="46" state="hidden" r:id="rId48"/>
    <sheet name="基准地价（汇总）" sheetId="76" state="hidden" r:id="rId49"/>
    <sheet name="地价" sheetId="71" state="hidden" r:id="rId50"/>
    <sheet name="典型户型修正"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 r:id="rId59"/>
    <externalReference r:id="rId60"/>
  </externalReferences>
  <definedNames>
    <definedName name="_xlnm._FilterDatabase" localSheetId="15" hidden="1">Sheet3!$A$1:$G$41</definedName>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抵押物汇总!$A$4:$AE$9</definedName>
    <definedName name="_xlnm._FilterDatabase" localSheetId="11" hidden="1">'数据-基础表'!$A$12:$AT$587</definedName>
    <definedName name="_xlnm._FilterDatabase" localSheetId="44" hidden="1">'土地比较法-工业'!$A$1:$L$43</definedName>
    <definedName name="_xlnm._FilterDatabase" localSheetId="30" hidden="1">'土地比较法-商业'!$A$1:$L$48</definedName>
    <definedName name="_xlnm._FilterDatabase" localSheetId="27" hidden="1">'土地比较法-住宅'!$A$1:$L$48</definedName>
    <definedName name="_xlnm._FilterDatabase" localSheetId="10" hidden="1">项目基本情况!$A$42:$N$42</definedName>
    <definedName name="_xlnm.Print_Area" localSheetId="8">估价师及机构信息!$A$1:$F$29</definedName>
    <definedName name="_xlnm.Print_Area" localSheetId="34">收益法!$A$1:$AK$69</definedName>
    <definedName name="_xlnm.Print_Area" localSheetId="35">'收益法 (元)'!$A$1:$AK$69</definedName>
    <definedName name="_xlnm.Print_Area" localSheetId="20">'数据-汇总表'!$A$1:$P$32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30">'土地比较法-商业'!$A$73:$M$73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30">'土地比较法-商业'!$B$106:$M$106</definedName>
    <definedName name="套综道路等级">'土地比较法-住宅'!$B$106:$M$106</definedName>
    <definedName name="套综工程地质条件" localSheetId="30">'土地比较法-商业'!$B$125:$M$125</definedName>
    <definedName name="套综工程地质条件">'土地比较法-住宅'!$B$125:$M$125</definedName>
    <definedName name="套综交易情况" localSheetId="30">'土地比较法-商业'!$A$73:$M$73</definedName>
    <definedName name="套综交易情况">'土地比较法-住宅'!$A$73:$M$73</definedName>
    <definedName name="套综临街宽度及深度" localSheetId="30">'土地比较法-商业'!$B$121:$M$121</definedName>
    <definedName name="套综临街宽度及深度">'土地比较法-住宅'!$B$121:$M$121</definedName>
    <definedName name="套综土地级别" localSheetId="30">'土地比较法-商业'!$B$108:$M$108</definedName>
    <definedName name="套综土地级别">'土地比较法-住宅'!$B$108:$M$108</definedName>
    <definedName name="套综用途" localSheetId="30">'土地比较法-商业'!$B$75:$M$75</definedName>
    <definedName name="套综用途">'土地比较法-住宅'!$B$75:$M$75</definedName>
    <definedName name="套综宗地内开发程度" localSheetId="30">'土地比较法-商业'!$B$123:$M$123</definedName>
    <definedName name="套综宗地内开发程度">'土地比较法-住宅'!$B$123:$M$123</definedName>
    <definedName name="套综宗地形状" localSheetId="30">'土地比较法-商业'!$B$119:$M$119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74" l="1"/>
  <c r="B18" i="74"/>
  <c r="C17" i="74"/>
  <c r="B17" i="74"/>
  <c r="D17" i="74"/>
  <c r="C16" i="74"/>
  <c r="B16" i="74"/>
  <c r="D16" i="74"/>
  <c r="B15" i="74"/>
  <c r="C15" i="74"/>
  <c r="D15" i="74"/>
  <c r="H416" i="82"/>
  <c r="G416" i="82"/>
  <c r="G424" i="82"/>
  <c r="G438" i="82"/>
  <c r="AA5" i="77"/>
  <c r="G367" i="82"/>
  <c r="G383" i="82"/>
  <c r="AA6" i="77"/>
  <c r="H387" i="82"/>
  <c r="G387" i="82"/>
  <c r="H388" i="82"/>
  <c r="G388" i="82"/>
  <c r="G410" i="82"/>
  <c r="AA7" i="77"/>
  <c r="AA9" i="77"/>
  <c r="AA11" i="77"/>
  <c r="AA12" i="77"/>
  <c r="AA13" i="77"/>
  <c r="G323" i="82"/>
  <c r="G330" i="82"/>
  <c r="AA17" i="77"/>
  <c r="AA20" i="77"/>
  <c r="G123" i="82"/>
  <c r="AA21" i="77"/>
  <c r="G44" i="82"/>
  <c r="AA22" i="77"/>
  <c r="K85" i="81"/>
  <c r="AA23" i="77"/>
  <c r="K10" i="81"/>
  <c r="AA24" i="77"/>
  <c r="AA25" i="77"/>
  <c r="K65" i="81"/>
  <c r="AA26" i="77"/>
  <c r="AA27" i="77"/>
  <c r="K99" i="81"/>
  <c r="AA28" i="77"/>
  <c r="K112" i="81"/>
  <c r="AA29" i="77"/>
  <c r="AA30" i="77"/>
  <c r="AA31" i="77"/>
  <c r="Z20" i="77"/>
  <c r="F44" i="82"/>
  <c r="Z22" i="77"/>
  <c r="Z27" i="77"/>
  <c r="Z30" i="77"/>
  <c r="Z31" i="77"/>
  <c r="AA34" i="77"/>
  <c r="W23" i="77"/>
  <c r="M10" i="81"/>
  <c r="AB24" i="77"/>
  <c r="W24" i="77"/>
  <c r="W25" i="77"/>
  <c r="AE27" i="77"/>
  <c r="F438" i="82"/>
  <c r="Y5" i="77"/>
  <c r="H438" i="82"/>
  <c r="AB5" i="77"/>
  <c r="W5" i="77"/>
  <c r="E383" i="82"/>
  <c r="X6" i="77"/>
  <c r="F383" i="82"/>
  <c r="Y6" i="77"/>
  <c r="H383" i="82"/>
  <c r="AB6" i="77"/>
  <c r="W6" i="77"/>
  <c r="E410" i="82"/>
  <c r="X7" i="77"/>
  <c r="F410" i="82"/>
  <c r="Y7" i="77"/>
  <c r="H410" i="82"/>
  <c r="AB7" i="77"/>
  <c r="W7" i="77"/>
  <c r="F468" i="82"/>
  <c r="Y8" i="77"/>
  <c r="W8" i="77"/>
  <c r="X9" i="77"/>
  <c r="R14" i="81"/>
  <c r="R15" i="81"/>
  <c r="R16" i="81"/>
  <c r="R17" i="81"/>
  <c r="R11" i="81"/>
  <c r="R12"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Y9" i="77"/>
  <c r="L44" i="81"/>
  <c r="AB9" i="77"/>
  <c r="W9" i="77"/>
  <c r="Y10" i="77"/>
  <c r="W10" i="77"/>
  <c r="S67" i="81"/>
  <c r="S68" i="81"/>
  <c r="S70" i="81"/>
  <c r="X11" i="77"/>
  <c r="Y11" i="77"/>
  <c r="AB11" i="77"/>
  <c r="W11" i="77"/>
  <c r="Y12" i="77"/>
  <c r="W12" i="77"/>
  <c r="S69" i="81"/>
  <c r="S71" i="81"/>
  <c r="S72" i="81"/>
  <c r="S73" i="81"/>
  <c r="X13" i="77"/>
  <c r="Y13" i="77"/>
  <c r="L72" i="81"/>
  <c r="L73" i="81"/>
  <c r="AB13" i="77"/>
  <c r="W13" i="77"/>
  <c r="Y14" i="77"/>
  <c r="W14" i="77"/>
  <c r="F276" i="82"/>
  <c r="Y15" i="77"/>
  <c r="H257" i="82"/>
  <c r="H276" i="82"/>
  <c r="AB15" i="77"/>
  <c r="W15" i="77"/>
  <c r="F304" i="82"/>
  <c r="Y16" i="77"/>
  <c r="W16" i="77"/>
  <c r="F330" i="82"/>
  <c r="Y17" i="77"/>
  <c r="H330" i="82"/>
  <c r="AB17" i="77"/>
  <c r="W17" i="77"/>
  <c r="F352" i="82"/>
  <c r="Y18" i="77"/>
  <c r="W18" i="77"/>
  <c r="F251" i="82"/>
  <c r="Y19" i="77"/>
  <c r="W19" i="77"/>
  <c r="W20" i="77"/>
  <c r="J20" i="77"/>
  <c r="AD20" i="77"/>
  <c r="P24" i="1"/>
  <c r="Q24" i="1"/>
  <c r="Q25" i="1"/>
  <c r="Q26" i="1"/>
  <c r="M5" i="39"/>
  <c r="O8" i="39"/>
  <c r="O5" i="39"/>
  <c r="M10" i="39"/>
  <c r="E46" i="39"/>
  <c r="R46" i="39"/>
  <c r="E7" i="39"/>
  <c r="B2" i="1"/>
  <c r="C7" i="39"/>
  <c r="C68" i="39"/>
  <c r="C70" i="39"/>
  <c r="D68" i="39"/>
  <c r="D70" i="39"/>
  <c r="D71"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1" i="39"/>
  <c r="F71" i="39"/>
  <c r="G71" i="39"/>
  <c r="H71" i="39"/>
  <c r="I71" i="39"/>
  <c r="J71" i="39"/>
  <c r="K71" i="39"/>
  <c r="L71" i="39"/>
  <c r="M71" i="39"/>
  <c r="N71" i="39"/>
  <c r="O71" i="39"/>
  <c r="F7" i="39"/>
  <c r="AA7" i="39"/>
  <c r="F8" i="39"/>
  <c r="AA8" i="39"/>
  <c r="F9" i="39"/>
  <c r="AA9" i="39"/>
  <c r="F11" i="39"/>
  <c r="AA11" i="39"/>
  <c r="B82" i="39"/>
  <c r="F12" i="39"/>
  <c r="AA12" i="39"/>
  <c r="B84" i="39"/>
  <c r="F13" i="39"/>
  <c r="AA13" i="39"/>
  <c r="B86" i="39"/>
  <c r="F14" i="39"/>
  <c r="AA14" i="39"/>
  <c r="D89" i="39"/>
  <c r="E89" i="39"/>
  <c r="F89" i="39"/>
  <c r="F15" i="39"/>
  <c r="AA15" i="39"/>
  <c r="D91" i="39"/>
  <c r="E91" i="39"/>
  <c r="F91" i="39"/>
  <c r="F17" i="39"/>
  <c r="AA17" i="39"/>
  <c r="F19" i="39"/>
  <c r="AA19" i="39"/>
  <c r="F21" i="39"/>
  <c r="AA21" i="39"/>
  <c r="F23" i="39"/>
  <c r="AA23" i="39"/>
  <c r="F25" i="39"/>
  <c r="AA25" i="39"/>
  <c r="D101" i="39"/>
  <c r="E101" i="39"/>
  <c r="F101" i="39"/>
  <c r="F27" i="39"/>
  <c r="AA27" i="39"/>
  <c r="F29" i="39"/>
  <c r="AA29" i="39"/>
  <c r="B104" i="39"/>
  <c r="F31" i="39"/>
  <c r="AA31" i="39"/>
  <c r="F32" i="39"/>
  <c r="AA32" i="39"/>
  <c r="F34" i="39"/>
  <c r="AA34" i="39"/>
  <c r="B110" i="39"/>
  <c r="F35" i="39"/>
  <c r="AA35" i="39"/>
  <c r="B112" i="39"/>
  <c r="F36" i="39"/>
  <c r="AA36" i="39"/>
  <c r="B114" i="39"/>
  <c r="F37" i="39"/>
  <c r="AA37" i="39"/>
  <c r="E38" i="39"/>
  <c r="A3" i="3"/>
  <c r="I13" i="3"/>
  <c r="BB13" i="3"/>
  <c r="K13" i="3"/>
  <c r="BC13" i="3"/>
  <c r="M13" i="3"/>
  <c r="BD13" i="3"/>
  <c r="I438" i="82"/>
  <c r="AC5" i="77"/>
  <c r="I383" i="82"/>
  <c r="AC6" i="77"/>
  <c r="I410" i="82"/>
  <c r="AC7" i="77"/>
  <c r="I468" i="82"/>
  <c r="AC8" i="77"/>
  <c r="AC10" i="77"/>
  <c r="AC12" i="77"/>
  <c r="AC14" i="77"/>
  <c r="I276" i="82"/>
  <c r="AC15" i="77"/>
  <c r="I304" i="82"/>
  <c r="AC16" i="77"/>
  <c r="I330" i="82"/>
  <c r="AC17" i="77"/>
  <c r="I352" i="82"/>
  <c r="AC18" i="77"/>
  <c r="I251" i="82"/>
  <c r="AC19" i="77"/>
  <c r="O13" i="3"/>
  <c r="BE13" i="3"/>
  <c r="BF13" i="3"/>
  <c r="BG13" i="3"/>
  <c r="BH13" i="3"/>
  <c r="BI13" i="3"/>
  <c r="BJ13" i="3"/>
  <c r="BK13" i="3"/>
  <c r="BA13" i="3"/>
  <c r="BM13" i="3"/>
  <c r="BN13" i="3"/>
  <c r="BO13" i="3"/>
  <c r="BP13" i="3"/>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I14" i="3"/>
  <c r="K14" i="3"/>
  <c r="M14" i="3"/>
  <c r="AC9" i="77"/>
  <c r="AC11" i="77"/>
  <c r="AC13" i="77"/>
  <c r="O14" i="3"/>
  <c r="H14" i="3"/>
  <c r="AL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C38" i="39"/>
  <c r="F38" i="39"/>
  <c r="AA38" i="39"/>
  <c r="D120" i="39"/>
  <c r="F39" i="39"/>
  <c r="AA39" i="39"/>
  <c r="F40" i="39"/>
  <c r="AA40" i="39"/>
  <c r="F41" i="39"/>
  <c r="AA41" i="39"/>
  <c r="F42" i="39"/>
  <c r="AA42" i="39"/>
  <c r="B127" i="39"/>
  <c r="F43" i="39"/>
  <c r="AA43" i="39"/>
  <c r="B129" i="39"/>
  <c r="F44" i="39"/>
  <c r="AA44" i="39"/>
  <c r="B131" i="39"/>
  <c r="F45" i="39"/>
  <c r="AA45" i="39"/>
  <c r="A8" i="1"/>
  <c r="C19" i="6"/>
  <c r="C20" i="6"/>
  <c r="F21" i="6"/>
  <c r="E21" i="6"/>
  <c r="K8" i="1"/>
  <c r="M8" i="1"/>
  <c r="O8" i="1"/>
  <c r="P8" i="1"/>
  <c r="A6" i="1"/>
  <c r="F19" i="6"/>
  <c r="E19" i="6"/>
  <c r="K6" i="1"/>
  <c r="L6" i="1"/>
  <c r="M6" i="1"/>
  <c r="O6" i="1"/>
  <c r="P6" i="1"/>
  <c r="A7" i="1"/>
  <c r="F20" i="6"/>
  <c r="E20" i="6"/>
  <c r="K7" i="1"/>
  <c r="L7" i="1"/>
  <c r="M7" i="1"/>
  <c r="O7" i="1"/>
  <c r="P7" i="1"/>
  <c r="A9" i="1"/>
  <c r="G22" i="6"/>
  <c r="E22" i="6"/>
  <c r="K9" i="1"/>
  <c r="AB32" i="77"/>
  <c r="AC32" i="77"/>
  <c r="L9" i="1"/>
  <c r="M9" i="1"/>
  <c r="O9" i="1"/>
  <c r="P9" i="1"/>
  <c r="A10" i="1"/>
  <c r="K10" i="1"/>
  <c r="M10" i="1"/>
  <c r="O10" i="1"/>
  <c r="P10" i="1"/>
  <c r="A11" i="1"/>
  <c r="K11" i="1"/>
  <c r="M11" i="1"/>
  <c r="O11" i="1"/>
  <c r="P11" i="1"/>
  <c r="A12" i="1"/>
  <c r="K12" i="1"/>
  <c r="M12" i="1"/>
  <c r="O12" i="1"/>
  <c r="P12" i="1"/>
  <c r="A13" i="1"/>
  <c r="K13" i="1"/>
  <c r="M13" i="1"/>
  <c r="O13" i="1"/>
  <c r="P13" i="1"/>
  <c r="BQ5" i="3"/>
  <c r="BS5" i="3"/>
  <c r="F28" i="6"/>
  <c r="BR5" i="3"/>
  <c r="BT5" i="3"/>
  <c r="G28" i="6"/>
  <c r="E28" i="6"/>
  <c r="K14" i="1"/>
  <c r="L14" i="1"/>
  <c r="M14" i="1"/>
  <c r="O14" i="1"/>
  <c r="P14" i="1"/>
  <c r="P16" i="1"/>
  <c r="C11" i="12"/>
  <c r="F12" i="12"/>
  <c r="C12" i="12"/>
  <c r="C42" i="1"/>
  <c r="F13" i="12"/>
  <c r="C13" i="12"/>
  <c r="E3" i="6"/>
  <c r="D14" i="12"/>
  <c r="B24" i="1"/>
  <c r="M16" i="1"/>
  <c r="N16" i="1"/>
  <c r="F11" i="12"/>
  <c r="E14" i="12"/>
  <c r="C14" i="12"/>
  <c r="F15" i="12"/>
  <c r="C15" i="12"/>
  <c r="C16" i="12"/>
  <c r="D17" i="12"/>
  <c r="E17" i="12"/>
  <c r="C17" i="12"/>
  <c r="BB11" i="3"/>
  <c r="BB5" i="3"/>
  <c r="BC11" i="3"/>
  <c r="BC5"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D5" i="3"/>
  <c r="BE5" i="3"/>
  <c r="BF5" i="3"/>
  <c r="BG5" i="3"/>
  <c r="BH5" i="3"/>
  <c r="BI5" i="3"/>
  <c r="BJ5" i="3"/>
  <c r="BK5" i="3"/>
  <c r="BL5" i="3"/>
  <c r="BM5" i="3"/>
  <c r="BN5" i="3"/>
  <c r="BO5" i="3"/>
  <c r="BP5" i="3"/>
  <c r="E5" i="6"/>
  <c r="D19" i="12"/>
  <c r="E19" i="12"/>
  <c r="C19" i="12"/>
  <c r="E6" i="6"/>
  <c r="D20" i="12"/>
  <c r="E20" i="12"/>
  <c r="C20" i="12"/>
  <c r="C18" i="12"/>
  <c r="C21" i="12"/>
  <c r="F22" i="12"/>
  <c r="C22" i="12"/>
  <c r="C7" i="12"/>
  <c r="C8" i="12"/>
  <c r="D7" i="12"/>
  <c r="D8" i="12"/>
  <c r="E7" i="12"/>
  <c r="E8" i="12"/>
  <c r="F7" i="12"/>
  <c r="F8" i="12"/>
  <c r="C4" i="12"/>
  <c r="F23" i="12"/>
  <c r="C23" i="12"/>
  <c r="C1" i="73"/>
  <c r="J1" i="73"/>
  <c r="D6" i="73"/>
  <c r="B22" i="1"/>
  <c r="E1" i="73"/>
  <c r="K1" i="73"/>
  <c r="D5" i="73"/>
  <c r="G1" i="73"/>
  <c r="B40" i="1"/>
  <c r="F25" i="12"/>
  <c r="C27" i="12"/>
  <c r="C25" i="12"/>
  <c r="Q16" i="1"/>
  <c r="F28" i="12"/>
  <c r="C30" i="12"/>
  <c r="C28" i="12"/>
  <c r="F24" i="12"/>
  <c r="C24" i="12"/>
  <c r="C26" i="12"/>
  <c r="D25" i="12"/>
  <c r="C29" i="12"/>
  <c r="D28" i="12"/>
  <c r="B43" i="1"/>
  <c r="B41" i="1"/>
  <c r="F31" i="12"/>
  <c r="C31" i="12"/>
  <c r="C32" i="12"/>
  <c r="B2" i="12"/>
  <c r="D19" i="9"/>
  <c r="N20" i="77"/>
  <c r="N27" i="77"/>
  <c r="N30" i="77"/>
  <c r="N31" i="77"/>
  <c r="N41" i="77"/>
  <c r="W21" i="77"/>
  <c r="H44" i="82"/>
  <c r="AB22" i="77"/>
  <c r="W22" i="77"/>
  <c r="W26" i="77"/>
  <c r="W27" i="77"/>
  <c r="W28" i="77"/>
  <c r="W29" i="77"/>
  <c r="W30" i="77"/>
  <c r="W31" i="77"/>
  <c r="N42" i="77"/>
  <c r="BB10" i="3"/>
  <c r="BC10" i="3"/>
  <c r="BD10" i="3"/>
  <c r="BE10" i="3"/>
  <c r="BF10" i="3"/>
  <c r="BG10" i="3"/>
  <c r="BH10" i="3"/>
  <c r="BI10" i="3"/>
  <c r="BJ10" i="3"/>
  <c r="BK10" i="3"/>
  <c r="E8" i="6"/>
  <c r="F27" i="6"/>
  <c r="F29" i="6"/>
  <c r="F30" i="6"/>
  <c r="F31" i="6"/>
  <c r="C88" i="9"/>
  <c r="D89" i="9"/>
  <c r="C89" i="9"/>
  <c r="C87" i="9"/>
  <c r="O41" i="77"/>
  <c r="O42" i="77"/>
  <c r="C90" i="9"/>
  <c r="C91" i="9"/>
  <c r="C92" i="9"/>
  <c r="H17" i="39"/>
  <c r="AB17" i="39"/>
  <c r="H15" i="39"/>
  <c r="AB15" i="39"/>
  <c r="M6" i="39"/>
  <c r="O6" i="39"/>
  <c r="M11" i="39"/>
  <c r="G46" i="39"/>
  <c r="T46" i="39"/>
  <c r="G7" i="39"/>
  <c r="H7" i="39"/>
  <c r="AB7" i="39"/>
  <c r="H8" i="39"/>
  <c r="AB8" i="39"/>
  <c r="H9" i="39"/>
  <c r="AB9" i="39"/>
  <c r="H11" i="39"/>
  <c r="AB11" i="39"/>
  <c r="H12" i="39"/>
  <c r="AB12" i="39"/>
  <c r="H13" i="39"/>
  <c r="AB13" i="39"/>
  <c r="H14" i="39"/>
  <c r="AB14"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7" i="39"/>
  <c r="AC17" i="39"/>
  <c r="J15" i="39"/>
  <c r="AC15" i="39"/>
  <c r="M7" i="39"/>
  <c r="O7" i="39"/>
  <c r="M12" i="39"/>
  <c r="I46" i="39"/>
  <c r="V46" i="39"/>
  <c r="I7" i="39"/>
  <c r="J7" i="39"/>
  <c r="AC7" i="39"/>
  <c r="J8" i="39"/>
  <c r="AC8" i="39"/>
  <c r="J9" i="39"/>
  <c r="AC9" i="39"/>
  <c r="J11" i="39"/>
  <c r="AC11" i="39"/>
  <c r="J12" i="39"/>
  <c r="AC12" i="39"/>
  <c r="J13" i="39"/>
  <c r="AC13" i="39"/>
  <c r="J14" i="39"/>
  <c r="AC14"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M42" i="77"/>
  <c r="C94" i="9"/>
  <c r="AA33" i="77"/>
  <c r="Z33" i="77"/>
  <c r="Y20" i="77"/>
  <c r="Y27" i="77"/>
  <c r="Y30" i="77"/>
  <c r="Y31" i="77"/>
  <c r="Y33" i="77"/>
  <c r="AC20" i="77"/>
  <c r="I123" i="82"/>
  <c r="AC21" i="77"/>
  <c r="I44" i="82"/>
  <c r="AC22" i="77"/>
  <c r="M85" i="81"/>
  <c r="AC23" i="77"/>
  <c r="AC24" i="77"/>
  <c r="AC25" i="77"/>
  <c r="AC27" i="77"/>
  <c r="AC30" i="77"/>
  <c r="AC31" i="77"/>
  <c r="AC33" i="77"/>
  <c r="AB20" i="77"/>
  <c r="AB27" i="77"/>
  <c r="AB30" i="77"/>
  <c r="AB31" i="77"/>
  <c r="AB33" i="77"/>
  <c r="X20" i="77"/>
  <c r="X27" i="77"/>
  <c r="X30" i="77"/>
  <c r="X31" i="77"/>
  <c r="X33" i="77"/>
  <c r="V33" i="77"/>
  <c r="AG5" i="77"/>
  <c r="L28" i="1"/>
  <c r="P25" i="1"/>
  <c r="D9" i="1"/>
  <c r="F9" i="1"/>
  <c r="G9" i="1"/>
  <c r="N35" i="77"/>
  <c r="N33" i="77"/>
  <c r="N34" i="77"/>
  <c r="M45" i="77"/>
  <c r="V5" i="77"/>
  <c r="V6" i="77"/>
  <c r="V7" i="77"/>
  <c r="V8" i="77"/>
  <c r="V9" i="77"/>
  <c r="V10" i="77"/>
  <c r="V11" i="77"/>
  <c r="V12" i="77"/>
  <c r="V13" i="77"/>
  <c r="V14" i="77"/>
  <c r="V15" i="77"/>
  <c r="V16" i="77"/>
  <c r="V17" i="77"/>
  <c r="V18" i="77"/>
  <c r="V19" i="77"/>
  <c r="V20" i="77"/>
  <c r="V21" i="77"/>
  <c r="V22" i="77"/>
  <c r="V23" i="77"/>
  <c r="V24" i="77"/>
  <c r="V25" i="77"/>
  <c r="V26" i="77"/>
  <c r="V27" i="77"/>
  <c r="V28" i="77"/>
  <c r="V29" i="77"/>
  <c r="V30" i="77"/>
  <c r="V31" i="77"/>
  <c r="Q20" i="77"/>
  <c r="N8" i="39"/>
  <c r="E149" i="82"/>
  <c r="F149" i="82"/>
  <c r="G149" i="82"/>
  <c r="E150" i="82"/>
  <c r="H149" i="82"/>
  <c r="H150" i="82"/>
  <c r="E151" i="82"/>
  <c r="I149" i="82"/>
  <c r="J149" i="82"/>
  <c r="J148" i="82"/>
  <c r="J147" i="82"/>
  <c r="J146" i="82"/>
  <c r="J145" i="82"/>
  <c r="J144" i="82"/>
  <c r="J143" i="82"/>
  <c r="J142" i="82"/>
  <c r="J141" i="82"/>
  <c r="J140" i="82"/>
  <c r="J139" i="82"/>
  <c r="J138" i="82"/>
  <c r="J137" i="82"/>
  <c r="J136" i="82"/>
  <c r="J135" i="82"/>
  <c r="J134" i="82"/>
  <c r="J133" i="82"/>
  <c r="J132" i="82"/>
  <c r="J131" i="82"/>
  <c r="J130" i="82"/>
  <c r="J129" i="82"/>
  <c r="E11" i="82"/>
  <c r="F11" i="82"/>
  <c r="G11" i="82"/>
  <c r="E12" i="82"/>
  <c r="E13" i="82"/>
  <c r="I11" i="82"/>
  <c r="J11" i="82"/>
  <c r="H11" i="82"/>
  <c r="J10" i="82"/>
  <c r="J9" i="82"/>
  <c r="J8" i="82"/>
  <c r="J7" i="82"/>
  <c r="J6" i="82"/>
  <c r="J5" i="82"/>
  <c r="J4" i="82"/>
  <c r="E468" i="82"/>
  <c r="G468" i="82"/>
  <c r="E469" i="82"/>
  <c r="E470" i="82"/>
  <c r="J468" i="82"/>
  <c r="E438" i="82"/>
  <c r="E439" i="82"/>
  <c r="H439" i="82"/>
  <c r="E440" i="82"/>
  <c r="J438" i="82"/>
  <c r="E411" i="82"/>
  <c r="H411" i="82"/>
  <c r="E412" i="82"/>
  <c r="J410" i="82"/>
  <c r="E384" i="82"/>
  <c r="H384" i="82"/>
  <c r="E385" i="82"/>
  <c r="J383" i="82"/>
  <c r="E352" i="82"/>
  <c r="G352" i="82"/>
  <c r="E353" i="82"/>
  <c r="H352" i="82"/>
  <c r="H353" i="82"/>
  <c r="E354" i="82"/>
  <c r="J352" i="82"/>
  <c r="E330" i="82"/>
  <c r="E331" i="82"/>
  <c r="H331" i="82"/>
  <c r="E332" i="82"/>
  <c r="J330" i="82"/>
  <c r="E304" i="82"/>
  <c r="G304" i="82"/>
  <c r="E305" i="82"/>
  <c r="H304" i="82"/>
  <c r="H305" i="82"/>
  <c r="E306" i="82"/>
  <c r="J304" i="82"/>
  <c r="E276" i="82"/>
  <c r="G276" i="82"/>
  <c r="E277" i="82"/>
  <c r="H277" i="82"/>
  <c r="E278" i="82"/>
  <c r="J276" i="82"/>
  <c r="E251" i="82"/>
  <c r="G251" i="82"/>
  <c r="E252" i="82"/>
  <c r="H251" i="82"/>
  <c r="H252" i="82"/>
  <c r="E253" i="82"/>
  <c r="J251" i="82"/>
  <c r="E221" i="82"/>
  <c r="F221" i="82"/>
  <c r="G212" i="82"/>
  <c r="G213" i="82"/>
  <c r="G221" i="82"/>
  <c r="E222" i="82"/>
  <c r="H221" i="82"/>
  <c r="H222" i="82"/>
  <c r="E223" i="82"/>
  <c r="I221" i="82"/>
  <c r="J221" i="82"/>
  <c r="E195" i="82"/>
  <c r="F195" i="82"/>
  <c r="G186" i="82"/>
  <c r="G195" i="82"/>
  <c r="E196" i="82"/>
  <c r="H195" i="82"/>
  <c r="H196" i="82"/>
  <c r="E197" i="82"/>
  <c r="I195" i="82"/>
  <c r="J195" i="82"/>
  <c r="E176" i="82"/>
  <c r="F176" i="82"/>
  <c r="G176" i="82"/>
  <c r="E177" i="82"/>
  <c r="H162" i="82"/>
  <c r="H176" i="82"/>
  <c r="H177" i="82"/>
  <c r="E178" i="82"/>
  <c r="I176" i="82"/>
  <c r="J176" i="82"/>
  <c r="E123" i="82"/>
  <c r="F123" i="82"/>
  <c r="E124" i="82"/>
  <c r="H123" i="82"/>
  <c r="H124" i="82"/>
  <c r="E125" i="82"/>
  <c r="J123" i="82"/>
  <c r="H98" i="82"/>
  <c r="H99" i="82"/>
  <c r="E100" i="82"/>
  <c r="J98" i="82"/>
  <c r="H82" i="82"/>
  <c r="H83" i="82"/>
  <c r="E84" i="82"/>
  <c r="J82" i="82"/>
  <c r="H65" i="82"/>
  <c r="H66" i="82"/>
  <c r="E67" i="82"/>
  <c r="J65" i="82"/>
  <c r="E44" i="82"/>
  <c r="E45" i="82"/>
  <c r="H45" i="82"/>
  <c r="E46" i="82"/>
  <c r="J44" i="82"/>
  <c r="M470" i="82"/>
  <c r="H468" i="82"/>
  <c r="J467" i="82"/>
  <c r="J466" i="82"/>
  <c r="J465" i="82"/>
  <c r="J464" i="82"/>
  <c r="J463" i="82"/>
  <c r="J462" i="82"/>
  <c r="J461" i="82"/>
  <c r="J460" i="82"/>
  <c r="J459" i="82"/>
  <c r="J458" i="82"/>
  <c r="J457" i="82"/>
  <c r="J456" i="82"/>
  <c r="J455" i="82"/>
  <c r="J454" i="82"/>
  <c r="J453" i="82"/>
  <c r="J452" i="82"/>
  <c r="J451" i="82"/>
  <c r="J450" i="82"/>
  <c r="J449" i="82"/>
  <c r="J448" i="82"/>
  <c r="J447" i="82"/>
  <c r="J382" i="82"/>
  <c r="J381" i="82"/>
  <c r="J380" i="82"/>
  <c r="J379" i="82"/>
  <c r="J378" i="82"/>
  <c r="J377" i="82"/>
  <c r="J376" i="82"/>
  <c r="J375" i="82"/>
  <c r="J374" i="82"/>
  <c r="J373" i="82"/>
  <c r="J372" i="82"/>
  <c r="J371" i="82"/>
  <c r="J370" i="82"/>
  <c r="J368" i="82"/>
  <c r="J367" i="82"/>
  <c r="J366" i="82"/>
  <c r="J365" i="82"/>
  <c r="J364" i="82"/>
  <c r="J363" i="82"/>
  <c r="J362" i="82"/>
  <c r="J361" i="82"/>
  <c r="M13" i="81"/>
  <c r="J13" i="81"/>
  <c r="O112" i="81"/>
  <c r="M112" i="81"/>
  <c r="L112" i="81"/>
  <c r="J112" i="81"/>
  <c r="I100" i="81"/>
  <c r="I101" i="81"/>
  <c r="I102" i="81"/>
  <c r="I103" i="81"/>
  <c r="I104" i="81"/>
  <c r="I105" i="81"/>
  <c r="I106" i="81"/>
  <c r="I107" i="81"/>
  <c r="I108" i="81"/>
  <c r="I109" i="81"/>
  <c r="I110" i="81"/>
  <c r="I111" i="81"/>
  <c r="I112" i="81"/>
  <c r="I87" i="81"/>
  <c r="I88" i="81"/>
  <c r="I89" i="81"/>
  <c r="I90" i="81"/>
  <c r="I91" i="81"/>
  <c r="I92" i="81"/>
  <c r="I93" i="81"/>
  <c r="I94" i="81"/>
  <c r="I95" i="81"/>
  <c r="I96" i="81"/>
  <c r="I97" i="81"/>
  <c r="I98" i="81"/>
  <c r="I86" i="81"/>
  <c r="J99" i="81"/>
  <c r="L99" i="81"/>
  <c r="M99" i="81"/>
  <c r="O99" i="81"/>
  <c r="I99" i="81"/>
  <c r="I84" i="81"/>
  <c r="I77" i="81"/>
  <c r="I78" i="81"/>
  <c r="I79" i="81"/>
  <c r="I80" i="81"/>
  <c r="I81" i="81"/>
  <c r="I82" i="81"/>
  <c r="I83" i="81"/>
  <c r="I76" i="81"/>
  <c r="L85" i="81"/>
  <c r="O85" i="81"/>
  <c r="J85" i="81"/>
  <c r="I85" i="81"/>
  <c r="H4" i="89"/>
  <c r="H5" i="89"/>
  <c r="H6" i="89"/>
  <c r="G6" i="89"/>
  <c r="F6" i="89"/>
  <c r="E6" i="89"/>
  <c r="D6" i="89"/>
  <c r="C3" i="89"/>
  <c r="C4" i="89"/>
  <c r="C5" i="89"/>
  <c r="C6" i="89"/>
  <c r="B6" i="89"/>
  <c r="I67" i="81"/>
  <c r="I68" i="81"/>
  <c r="I69" i="81"/>
  <c r="I70" i="81"/>
  <c r="I71" i="81"/>
  <c r="I72" i="81"/>
  <c r="I73" i="81"/>
  <c r="I74" i="81"/>
  <c r="I66" i="81"/>
  <c r="J75" i="81"/>
  <c r="K75" i="81"/>
  <c r="L75" i="81"/>
  <c r="M75" i="81"/>
  <c r="O75" i="81"/>
  <c r="I75" i="81"/>
  <c r="I7" i="87"/>
  <c r="G7" i="87"/>
  <c r="E7" i="87"/>
  <c r="V18" i="86"/>
  <c r="V19" i="86"/>
  <c r="V20" i="86"/>
  <c r="V21" i="86"/>
  <c r="V22" i="86"/>
  <c r="O6" i="87"/>
  <c r="V17" i="86"/>
  <c r="M7" i="87"/>
  <c r="V13" i="86"/>
  <c r="M6" i="87"/>
  <c r="V3" i="86"/>
  <c r="M5" i="87"/>
  <c r="O8" i="87"/>
  <c r="O5" i="87"/>
  <c r="M10" i="87"/>
  <c r="O7" i="87"/>
  <c r="B131" i="87"/>
  <c r="B129" i="87"/>
  <c r="B127" i="87"/>
  <c r="D126" i="87"/>
  <c r="E126" i="87"/>
  <c r="F126" i="87"/>
  <c r="G126" i="87"/>
  <c r="H126" i="87"/>
  <c r="I126" i="87"/>
  <c r="J126" i="87"/>
  <c r="K126" i="87"/>
  <c r="L126" i="87"/>
  <c r="M126" i="87"/>
  <c r="D124" i="87"/>
  <c r="E124" i="87"/>
  <c r="F124" i="87"/>
  <c r="G124" i="87"/>
  <c r="H124" i="87"/>
  <c r="I124" i="87"/>
  <c r="J124" i="87"/>
  <c r="K124" i="87"/>
  <c r="L124" i="87"/>
  <c r="M124" i="87"/>
  <c r="D122" i="87"/>
  <c r="E122" i="87"/>
  <c r="F122" i="87"/>
  <c r="G122" i="87"/>
  <c r="H122" i="87"/>
  <c r="I122" i="87"/>
  <c r="J122" i="87"/>
  <c r="K122" i="87"/>
  <c r="L122" i="87"/>
  <c r="M122" i="87"/>
  <c r="D120" i="87"/>
  <c r="E120" i="87"/>
  <c r="F120" i="87"/>
  <c r="G120" i="87"/>
  <c r="H120" i="87"/>
  <c r="I120" i="87"/>
  <c r="J120" i="87"/>
  <c r="K120" i="87"/>
  <c r="L120" i="87"/>
  <c r="M120" i="87"/>
  <c r="M116" i="87"/>
  <c r="L116" i="87"/>
  <c r="K116" i="87"/>
  <c r="J116" i="87"/>
  <c r="I116" i="87"/>
  <c r="H116" i="87"/>
  <c r="G116" i="87"/>
  <c r="F116" i="87"/>
  <c r="E116" i="87"/>
  <c r="D116" i="87"/>
  <c r="C116" i="87"/>
  <c r="B114" i="87"/>
  <c r="B112" i="87"/>
  <c r="B110" i="87"/>
  <c r="D109" i="87"/>
  <c r="E109" i="87"/>
  <c r="F109" i="87"/>
  <c r="G109" i="87"/>
  <c r="H109" i="87"/>
  <c r="I109" i="87"/>
  <c r="J109" i="87"/>
  <c r="K109" i="87"/>
  <c r="L109" i="87"/>
  <c r="M109" i="87"/>
  <c r="D107" i="87"/>
  <c r="E107" i="87"/>
  <c r="F107" i="87"/>
  <c r="G107" i="87"/>
  <c r="H107" i="87"/>
  <c r="I107" i="87"/>
  <c r="J107" i="87"/>
  <c r="K107" i="87"/>
  <c r="L107" i="87"/>
  <c r="M107" i="87"/>
  <c r="D105" i="87"/>
  <c r="E105" i="87"/>
  <c r="F105" i="87"/>
  <c r="G105" i="87"/>
  <c r="H105" i="87"/>
  <c r="I105" i="87"/>
  <c r="J105" i="87"/>
  <c r="K105" i="87"/>
  <c r="L105" i="87"/>
  <c r="M105" i="87"/>
  <c r="B104" i="87"/>
  <c r="D103" i="87"/>
  <c r="E103" i="87"/>
  <c r="F103" i="87"/>
  <c r="G103" i="87"/>
  <c r="D101" i="87"/>
  <c r="E101" i="87"/>
  <c r="F101" i="87"/>
  <c r="G101" i="87"/>
  <c r="D99" i="87"/>
  <c r="E99" i="87"/>
  <c r="F99" i="87"/>
  <c r="G99" i="87"/>
  <c r="D97" i="87"/>
  <c r="E97" i="87"/>
  <c r="F97" i="87"/>
  <c r="G97" i="87"/>
  <c r="D95" i="87"/>
  <c r="E95" i="87"/>
  <c r="F95" i="87"/>
  <c r="G95" i="87"/>
  <c r="D93" i="87"/>
  <c r="E93" i="87"/>
  <c r="F93" i="87"/>
  <c r="G93" i="87"/>
  <c r="D91" i="87"/>
  <c r="E91" i="87"/>
  <c r="F91" i="87"/>
  <c r="G91" i="87"/>
  <c r="D89" i="87"/>
  <c r="E89" i="87"/>
  <c r="F89" i="87"/>
  <c r="G89" i="87"/>
  <c r="B86" i="87"/>
  <c r="B84" i="87"/>
  <c r="B82" i="87"/>
  <c r="D81" i="87"/>
  <c r="E81" i="87"/>
  <c r="F81" i="87"/>
  <c r="G81" i="87"/>
  <c r="H81" i="87"/>
  <c r="I81" i="87"/>
  <c r="J81" i="87"/>
  <c r="K81" i="87"/>
  <c r="L81" i="87"/>
  <c r="M81" i="87"/>
  <c r="M79" i="87"/>
  <c r="L79" i="87"/>
  <c r="K79" i="87"/>
  <c r="J79" i="87"/>
  <c r="I79" i="87"/>
  <c r="H79" i="87"/>
  <c r="G79" i="87"/>
  <c r="F79" i="87"/>
  <c r="E79" i="87"/>
  <c r="D79" i="87"/>
  <c r="C79" i="87"/>
  <c r="D71" i="87"/>
  <c r="E71" i="87"/>
  <c r="F71" i="87"/>
  <c r="G71" i="87"/>
  <c r="H71" i="87"/>
  <c r="I71" i="87"/>
  <c r="J71" i="87"/>
  <c r="K71" i="87"/>
  <c r="L71" i="87"/>
  <c r="M71" i="87"/>
  <c r="N71" i="87"/>
  <c r="O71" i="87"/>
  <c r="B71" i="87"/>
  <c r="C7" i="87"/>
  <c r="C68" i="87"/>
  <c r="D68" i="87"/>
  <c r="E68" i="87"/>
  <c r="F68" i="87"/>
  <c r="G68" i="87"/>
  <c r="H68" i="87"/>
  <c r="I68" i="87"/>
  <c r="J68" i="87"/>
  <c r="K68" i="87"/>
  <c r="L68" i="87"/>
  <c r="M68" i="87"/>
  <c r="N68" i="87"/>
  <c r="O68" i="87"/>
  <c r="O70" i="87"/>
  <c r="N70" i="87"/>
  <c r="M70" i="87"/>
  <c r="L70" i="87"/>
  <c r="K70" i="87"/>
  <c r="J70" i="87"/>
  <c r="I70" i="87"/>
  <c r="H70" i="87"/>
  <c r="G70" i="87"/>
  <c r="F70" i="87"/>
  <c r="E70" i="87"/>
  <c r="D70" i="87"/>
  <c r="C70" i="87"/>
  <c r="E46" i="87"/>
  <c r="R46" i="87"/>
  <c r="F7" i="87"/>
  <c r="AA7" i="87"/>
  <c r="F8" i="87"/>
  <c r="AA8" i="87"/>
  <c r="F9" i="87"/>
  <c r="AA9" i="87"/>
  <c r="F11" i="87"/>
  <c r="AA11" i="87"/>
  <c r="F12" i="87"/>
  <c r="AA12" i="87"/>
  <c r="F13" i="87"/>
  <c r="AA13" i="87"/>
  <c r="F14" i="87"/>
  <c r="AA14" i="87"/>
  <c r="F15" i="87"/>
  <c r="AA15" i="87"/>
  <c r="F17" i="87"/>
  <c r="AA17" i="87"/>
  <c r="F19" i="87"/>
  <c r="AA19" i="87"/>
  <c r="F21" i="87"/>
  <c r="AA21" i="87"/>
  <c r="F23" i="87"/>
  <c r="AA23" i="87"/>
  <c r="F25" i="87"/>
  <c r="AA25" i="87"/>
  <c r="F27" i="87"/>
  <c r="AA27" i="87"/>
  <c r="F29" i="87"/>
  <c r="AA29" i="87"/>
  <c r="F31" i="87"/>
  <c r="AA31" i="87"/>
  <c r="F32" i="87"/>
  <c r="AA32" i="87"/>
  <c r="F34" i="87"/>
  <c r="AA34" i="87"/>
  <c r="F35" i="87"/>
  <c r="AA35" i="87"/>
  <c r="F36" i="87"/>
  <c r="AA36" i="87"/>
  <c r="F37" i="87"/>
  <c r="AA37" i="87"/>
  <c r="E38" i="87"/>
  <c r="C38" i="87"/>
  <c r="F38" i="87"/>
  <c r="AA38" i="87"/>
  <c r="F39" i="87"/>
  <c r="AA39" i="87"/>
  <c r="F40" i="87"/>
  <c r="AA40" i="87"/>
  <c r="F41" i="87"/>
  <c r="AA41" i="87"/>
  <c r="F42" i="87"/>
  <c r="AA42" i="87"/>
  <c r="F43" i="87"/>
  <c r="AA43" i="87"/>
  <c r="F44" i="87"/>
  <c r="AA44" i="87"/>
  <c r="F45" i="87"/>
  <c r="AA45" i="87"/>
  <c r="M11" i="87"/>
  <c r="G46" i="87"/>
  <c r="T46" i="87"/>
  <c r="H7" i="87"/>
  <c r="AB7" i="87"/>
  <c r="H8" i="87"/>
  <c r="AB8" i="87"/>
  <c r="H9" i="87"/>
  <c r="AB9" i="87"/>
  <c r="H11" i="87"/>
  <c r="AB11" i="87"/>
  <c r="H12" i="87"/>
  <c r="AB12" i="87"/>
  <c r="H13" i="87"/>
  <c r="AB13" i="87"/>
  <c r="H14" i="87"/>
  <c r="AB14" i="87"/>
  <c r="H15" i="87"/>
  <c r="AB15" i="87"/>
  <c r="H17" i="87"/>
  <c r="AB17" i="87"/>
  <c r="H19" i="87"/>
  <c r="AB19" i="87"/>
  <c r="H21" i="87"/>
  <c r="AB21" i="87"/>
  <c r="H23" i="87"/>
  <c r="AB23" i="87"/>
  <c r="H25" i="87"/>
  <c r="AB25" i="87"/>
  <c r="H27" i="87"/>
  <c r="AB27" i="87"/>
  <c r="H29" i="87"/>
  <c r="AB29" i="87"/>
  <c r="H31" i="87"/>
  <c r="AB31" i="87"/>
  <c r="H32" i="87"/>
  <c r="AB32" i="87"/>
  <c r="H34" i="87"/>
  <c r="AB34" i="87"/>
  <c r="H35" i="87"/>
  <c r="AB35" i="87"/>
  <c r="H36" i="87"/>
  <c r="AB36" i="87"/>
  <c r="H37" i="87"/>
  <c r="AB37" i="87"/>
  <c r="G38" i="87"/>
  <c r="H38" i="87"/>
  <c r="AB38" i="87"/>
  <c r="H39" i="87"/>
  <c r="AB39" i="87"/>
  <c r="H40" i="87"/>
  <c r="AB40" i="87"/>
  <c r="H41" i="87"/>
  <c r="AB41" i="87"/>
  <c r="H42" i="87"/>
  <c r="AB42" i="87"/>
  <c r="H43" i="87"/>
  <c r="AB43" i="87"/>
  <c r="H44" i="87"/>
  <c r="AB44" i="87"/>
  <c r="H45" i="87"/>
  <c r="AB45" i="87"/>
  <c r="M12" i="87"/>
  <c r="I46" i="87"/>
  <c r="V46" i="87"/>
  <c r="J7" i="87"/>
  <c r="AC7" i="87"/>
  <c r="J8" i="87"/>
  <c r="AC8" i="87"/>
  <c r="J9" i="87"/>
  <c r="AC9" i="87"/>
  <c r="J11" i="87"/>
  <c r="AC11" i="87"/>
  <c r="J12" i="87"/>
  <c r="AC12" i="87"/>
  <c r="J13" i="87"/>
  <c r="AC13" i="87"/>
  <c r="J14" i="87"/>
  <c r="AC14" i="87"/>
  <c r="J15" i="87"/>
  <c r="AC15" i="87"/>
  <c r="J17" i="87"/>
  <c r="AC17" i="87"/>
  <c r="J19" i="87"/>
  <c r="AC19" i="87"/>
  <c r="J21" i="87"/>
  <c r="AC21" i="87"/>
  <c r="J23" i="87"/>
  <c r="AC23" i="87"/>
  <c r="J25" i="87"/>
  <c r="AC25" i="87"/>
  <c r="J27" i="87"/>
  <c r="AC27" i="87"/>
  <c r="J29" i="87"/>
  <c r="AC29" i="87"/>
  <c r="J31" i="87"/>
  <c r="AC31" i="87"/>
  <c r="J32" i="87"/>
  <c r="AC32" i="87"/>
  <c r="J34" i="87"/>
  <c r="AC34" i="87"/>
  <c r="J35" i="87"/>
  <c r="AC35" i="87"/>
  <c r="J36" i="87"/>
  <c r="AC36" i="87"/>
  <c r="J37" i="87"/>
  <c r="AC37" i="87"/>
  <c r="I38" i="87"/>
  <c r="J38" i="87"/>
  <c r="AC38" i="87"/>
  <c r="J39" i="87"/>
  <c r="AC39" i="87"/>
  <c r="J40" i="87"/>
  <c r="AC40" i="87"/>
  <c r="J41" i="87"/>
  <c r="AC41" i="87"/>
  <c r="J42" i="87"/>
  <c r="AC42" i="87"/>
  <c r="J43" i="87"/>
  <c r="AC43" i="87"/>
  <c r="J44" i="87"/>
  <c r="AC44" i="87"/>
  <c r="J45" i="87"/>
  <c r="AC45" i="87"/>
  <c r="E56" i="87"/>
  <c r="H57" i="87"/>
  <c r="I57" i="87"/>
  <c r="C57" i="87"/>
  <c r="H58" i="87"/>
  <c r="I58" i="87"/>
  <c r="C58" i="87"/>
  <c r="H59" i="87"/>
  <c r="I59" i="87"/>
  <c r="C59" i="87"/>
  <c r="H60" i="87"/>
  <c r="I60" i="87"/>
  <c r="C60" i="87"/>
  <c r="H61" i="87"/>
  <c r="I61" i="87"/>
  <c r="C61" i="87"/>
  <c r="E11" i="6"/>
  <c r="E61" i="87"/>
  <c r="H62" i="87"/>
  <c r="I62" i="87"/>
  <c r="C62" i="87"/>
  <c r="E12" i="6"/>
  <c r="E62" i="87"/>
  <c r="H63" i="87"/>
  <c r="I63" i="87"/>
  <c r="C63" i="87"/>
  <c r="E13" i="6"/>
  <c r="E63" i="87"/>
  <c r="H64" i="87"/>
  <c r="I64" i="87"/>
  <c r="C64" i="87"/>
  <c r="E14" i="6"/>
  <c r="E64" i="87"/>
  <c r="H65" i="87"/>
  <c r="I65" i="87"/>
  <c r="C65" i="87"/>
  <c r="E15" i="6"/>
  <c r="E65" i="87"/>
  <c r="E66" i="87"/>
  <c r="F35" i="4"/>
  <c r="J55" i="87"/>
  <c r="I53" i="87"/>
  <c r="J53" i="87"/>
  <c r="G53" i="87"/>
  <c r="H53" i="87"/>
  <c r="E53" i="87"/>
  <c r="F53" i="87"/>
  <c r="P48" i="87"/>
  <c r="P47" i="87"/>
  <c r="P46" i="87"/>
  <c r="Q45" i="87"/>
  <c r="Z45" i="87"/>
  <c r="W45" i="87"/>
  <c r="U45" i="87"/>
  <c r="S45" i="87"/>
  <c r="Q44" i="87"/>
  <c r="Z44" i="87"/>
  <c r="W44" i="87"/>
  <c r="U44" i="87"/>
  <c r="S44" i="87"/>
  <c r="Q43" i="87"/>
  <c r="Z43" i="87"/>
  <c r="W43" i="87"/>
  <c r="U43" i="87"/>
  <c r="S43" i="87"/>
  <c r="Q42" i="87"/>
  <c r="Z42" i="87"/>
  <c r="W42" i="87"/>
  <c r="U42" i="87"/>
  <c r="S42" i="87"/>
  <c r="Q41" i="87"/>
  <c r="Z41" i="87"/>
  <c r="W41" i="87"/>
  <c r="U41" i="87"/>
  <c r="S41" i="87"/>
  <c r="Q40" i="87"/>
  <c r="Z40" i="87"/>
  <c r="W40" i="87"/>
  <c r="U40" i="87"/>
  <c r="S40" i="87"/>
  <c r="Q39" i="87"/>
  <c r="Z39" i="87"/>
  <c r="W39" i="87"/>
  <c r="U39" i="87"/>
  <c r="S39" i="87"/>
  <c r="Q38" i="87"/>
  <c r="Z38" i="87"/>
  <c r="W38" i="87"/>
  <c r="U38" i="87"/>
  <c r="S38" i="87"/>
  <c r="Q37" i="87"/>
  <c r="Z37" i="87"/>
  <c r="W37" i="87"/>
  <c r="U37" i="87"/>
  <c r="S37" i="87"/>
  <c r="Q36" i="87"/>
  <c r="Z36" i="87"/>
  <c r="W36" i="87"/>
  <c r="U36" i="87"/>
  <c r="S36" i="87"/>
  <c r="Q35" i="87"/>
  <c r="Z35" i="87"/>
  <c r="W35" i="87"/>
  <c r="U35" i="87"/>
  <c r="S35" i="87"/>
  <c r="Q34" i="87"/>
  <c r="Z34" i="87"/>
  <c r="W34" i="87"/>
  <c r="U34" i="87"/>
  <c r="S34" i="87"/>
  <c r="Q32" i="87"/>
  <c r="Z32" i="87"/>
  <c r="W32" i="87"/>
  <c r="U32" i="87"/>
  <c r="S32" i="87"/>
  <c r="Q31" i="87"/>
  <c r="Z31" i="87"/>
  <c r="W31" i="87"/>
  <c r="U31" i="87"/>
  <c r="S31" i="87"/>
  <c r="Q29" i="87"/>
  <c r="Z29" i="87"/>
  <c r="W29" i="87"/>
  <c r="U29" i="87"/>
  <c r="S29" i="87"/>
  <c r="C22" i="20"/>
  <c r="C29" i="87"/>
  <c r="Q27" i="87"/>
  <c r="Z27" i="87"/>
  <c r="W27" i="87"/>
  <c r="U27" i="87"/>
  <c r="S27" i="87"/>
  <c r="C21" i="20"/>
  <c r="C27" i="87"/>
  <c r="Q25" i="87"/>
  <c r="Z25" i="87"/>
  <c r="W25" i="87"/>
  <c r="U25" i="87"/>
  <c r="S25" i="87"/>
  <c r="C20" i="20"/>
  <c r="C25" i="87"/>
  <c r="Q23" i="87"/>
  <c r="Z23" i="87"/>
  <c r="W23" i="87"/>
  <c r="U23" i="87"/>
  <c r="S23" i="87"/>
  <c r="C23" i="87"/>
  <c r="Q21" i="87"/>
  <c r="Z21" i="87"/>
  <c r="W21" i="87"/>
  <c r="U21" i="87"/>
  <c r="S21" i="87"/>
  <c r="C18" i="20"/>
  <c r="C21" i="87"/>
  <c r="Q19" i="87"/>
  <c r="Z19" i="87"/>
  <c r="W19" i="87"/>
  <c r="U19" i="87"/>
  <c r="S19" i="87"/>
  <c r="C17" i="20"/>
  <c r="C19" i="87"/>
  <c r="Q17" i="87"/>
  <c r="Z17" i="87"/>
  <c r="W17" i="87"/>
  <c r="U17" i="87"/>
  <c r="S17" i="87"/>
  <c r="C16" i="20"/>
  <c r="C17" i="87"/>
  <c r="Q15" i="87"/>
  <c r="Z15" i="87"/>
  <c r="W15" i="87"/>
  <c r="U15" i="87"/>
  <c r="S15" i="87"/>
  <c r="C15" i="20"/>
  <c r="C15" i="87"/>
  <c r="Q14" i="87"/>
  <c r="Z14" i="87"/>
  <c r="W14" i="87"/>
  <c r="U14" i="87"/>
  <c r="S14" i="87"/>
  <c r="Q13" i="87"/>
  <c r="Z13" i="87"/>
  <c r="W13" i="87"/>
  <c r="U13" i="87"/>
  <c r="S13" i="87"/>
  <c r="Q12" i="87"/>
  <c r="Z12" i="87"/>
  <c r="W12" i="87"/>
  <c r="U12" i="87"/>
  <c r="S12" i="87"/>
  <c r="Q11" i="87"/>
  <c r="Z11" i="87"/>
  <c r="W11" i="87"/>
  <c r="U11" i="87"/>
  <c r="S11" i="87"/>
  <c r="Q10" i="87"/>
  <c r="Z10" i="87"/>
  <c r="Q9" i="87"/>
  <c r="Z9" i="87"/>
  <c r="W9" i="87"/>
  <c r="U9" i="87"/>
  <c r="S9" i="87"/>
  <c r="W8" i="87"/>
  <c r="U8" i="87"/>
  <c r="S8" i="87"/>
  <c r="W7" i="87"/>
  <c r="U7" i="87"/>
  <c r="S7" i="87"/>
  <c r="V4" i="86"/>
  <c r="V5" i="86"/>
  <c r="V6" i="86"/>
  <c r="V7" i="86"/>
  <c r="V8" i="86"/>
  <c r="V9" i="86"/>
  <c r="V10" i="86"/>
  <c r="V11" i="86"/>
  <c r="V12" i="86"/>
  <c r="V14" i="86"/>
  <c r="V15" i="86"/>
  <c r="V16" i="86"/>
  <c r="V2" i="86"/>
  <c r="I49" i="81"/>
  <c r="I50" i="81"/>
  <c r="I51" i="81"/>
  <c r="I52" i="81"/>
  <c r="I53" i="81"/>
  <c r="I54" i="81"/>
  <c r="I55" i="81"/>
  <c r="I56" i="81"/>
  <c r="I57" i="81"/>
  <c r="I58" i="81"/>
  <c r="I59" i="81"/>
  <c r="I60" i="81"/>
  <c r="I61" i="81"/>
  <c r="I62" i="81"/>
  <c r="I63" i="81"/>
  <c r="I64" i="81"/>
  <c r="I48" i="81"/>
  <c r="I65" i="81"/>
  <c r="J65" i="81"/>
  <c r="O65" i="81"/>
  <c r="L65" i="81"/>
  <c r="M65" i="81"/>
  <c r="D7" i="73"/>
  <c r="C17" i="9"/>
  <c r="D17" i="9"/>
  <c r="C18" i="9"/>
  <c r="D18" i="9"/>
  <c r="D19" i="6"/>
  <c r="D20" i="6"/>
  <c r="D21" i="6"/>
  <c r="D22" i="6"/>
  <c r="E23" i="6"/>
  <c r="D23" i="6"/>
  <c r="E24" i="6"/>
  <c r="D24" i="6"/>
  <c r="E25" i="6"/>
  <c r="D25" i="6"/>
  <c r="E26" i="6"/>
  <c r="D26" i="6"/>
  <c r="D27" i="6"/>
  <c r="D28" i="6"/>
  <c r="G29" i="6"/>
  <c r="E29" i="6"/>
  <c r="D29" i="6"/>
  <c r="D30" i="6"/>
  <c r="D31" i="6"/>
  <c r="I6" i="6"/>
  <c r="M6" i="82"/>
  <c r="M5" i="82"/>
  <c r="I20" i="83"/>
  <c r="I19" i="83"/>
  <c r="I18" i="83"/>
  <c r="I17" i="83"/>
  <c r="I16" i="83"/>
  <c r="I15" i="83"/>
  <c r="I14" i="83"/>
  <c r="I13" i="83"/>
  <c r="I12" i="83"/>
  <c r="I11" i="83"/>
  <c r="I10" i="83"/>
  <c r="I9" i="83"/>
  <c r="I8" i="83"/>
  <c r="I7" i="83"/>
  <c r="I6" i="83"/>
  <c r="I5" i="83"/>
  <c r="I4" i="83"/>
  <c r="I3" i="83"/>
  <c r="I2" i="83"/>
  <c r="E441" i="82"/>
  <c r="F441" i="82"/>
  <c r="G441" i="82"/>
  <c r="E442" i="82"/>
  <c r="H441" i="82"/>
  <c r="H442" i="82"/>
  <c r="E443" i="82"/>
  <c r="I441" i="82"/>
  <c r="J441" i="82"/>
  <c r="J437" i="82"/>
  <c r="J436" i="82"/>
  <c r="J435" i="82"/>
  <c r="J434" i="82"/>
  <c r="J433" i="82"/>
  <c r="J432" i="82"/>
  <c r="J431" i="82"/>
  <c r="J430" i="82"/>
  <c r="J429" i="82"/>
  <c r="J428" i="82"/>
  <c r="J427" i="82"/>
  <c r="J426" i="82"/>
  <c r="J425" i="82"/>
  <c r="J424" i="82"/>
  <c r="J423" i="82"/>
  <c r="J422" i="82"/>
  <c r="J421" i="82"/>
  <c r="J420" i="82"/>
  <c r="J419" i="82"/>
  <c r="J418" i="82"/>
  <c r="J417" i="82"/>
  <c r="J416" i="82"/>
  <c r="J415" i="82"/>
  <c r="J414" i="82"/>
  <c r="J409" i="82"/>
  <c r="J408" i="82"/>
  <c r="J407" i="82"/>
  <c r="J406" i="82"/>
  <c r="J405" i="82"/>
  <c r="J404" i="82"/>
  <c r="J403" i="82"/>
  <c r="J402" i="82"/>
  <c r="J401" i="82"/>
  <c r="J400" i="82"/>
  <c r="J399" i="82"/>
  <c r="J398" i="82"/>
  <c r="J397" i="82"/>
  <c r="J396" i="82"/>
  <c r="J395" i="82"/>
  <c r="J394" i="82"/>
  <c r="J393" i="82"/>
  <c r="J392" i="82"/>
  <c r="J391" i="82"/>
  <c r="J390" i="82"/>
  <c r="J389" i="82"/>
  <c r="J388" i="82"/>
  <c r="J387" i="82"/>
  <c r="E356" i="82"/>
  <c r="H355" i="82"/>
  <c r="E357" i="82"/>
  <c r="J355" i="82"/>
  <c r="I355" i="82"/>
  <c r="G355" i="82"/>
  <c r="F355" i="82"/>
  <c r="E355" i="82"/>
  <c r="J351" i="82"/>
  <c r="J350" i="82"/>
  <c r="J349" i="82"/>
  <c r="J348" i="82"/>
  <c r="J347" i="82"/>
  <c r="J346" i="82"/>
  <c r="J345" i="82"/>
  <c r="J344" i="82"/>
  <c r="J343" i="82"/>
  <c r="J342" i="82"/>
  <c r="J341" i="82"/>
  <c r="J340" i="82"/>
  <c r="J339" i="82"/>
  <c r="J338" i="82"/>
  <c r="J337" i="82"/>
  <c r="J336" i="82"/>
  <c r="J335" i="82"/>
  <c r="J334" i="82"/>
  <c r="J329" i="82"/>
  <c r="J328" i="82"/>
  <c r="J327" i="82"/>
  <c r="J326" i="82"/>
  <c r="J325" i="82"/>
  <c r="J324" i="82"/>
  <c r="J323" i="82"/>
  <c r="J322" i="82"/>
  <c r="J321" i="82"/>
  <c r="J320" i="82"/>
  <c r="J319" i="82"/>
  <c r="J318" i="82"/>
  <c r="J317" i="82"/>
  <c r="J316" i="82"/>
  <c r="J315" i="82"/>
  <c r="J314" i="82"/>
  <c r="J313" i="82"/>
  <c r="J312" i="82"/>
  <c r="J311" i="82"/>
  <c r="J310" i="82"/>
  <c r="J309" i="82"/>
  <c r="J308" i="82"/>
  <c r="J303" i="82"/>
  <c r="J302" i="82"/>
  <c r="J301" i="82"/>
  <c r="J300" i="82"/>
  <c r="J299" i="82"/>
  <c r="J298" i="82"/>
  <c r="J297" i="82"/>
  <c r="J296" i="82"/>
  <c r="J295" i="82"/>
  <c r="J294" i="82"/>
  <c r="J293" i="82"/>
  <c r="J292" i="82"/>
  <c r="J291" i="82"/>
  <c r="J290" i="82"/>
  <c r="J289" i="82"/>
  <c r="J288" i="82"/>
  <c r="J287" i="82"/>
  <c r="J286" i="82"/>
  <c r="J285" i="82"/>
  <c r="J284" i="82"/>
  <c r="J283" i="82"/>
  <c r="J282" i="82"/>
  <c r="J281" i="82"/>
  <c r="J280" i="82"/>
  <c r="J275" i="82"/>
  <c r="J274" i="82"/>
  <c r="J273" i="82"/>
  <c r="J272" i="82"/>
  <c r="J271" i="82"/>
  <c r="J270" i="82"/>
  <c r="J269" i="82"/>
  <c r="J268" i="82"/>
  <c r="J267" i="82"/>
  <c r="J266" i="82"/>
  <c r="J265" i="82"/>
  <c r="J264" i="82"/>
  <c r="J263" i="82"/>
  <c r="J262" i="82"/>
  <c r="J261" i="82"/>
  <c r="J260" i="82"/>
  <c r="J259" i="82"/>
  <c r="J258" i="82"/>
  <c r="J257" i="82"/>
  <c r="J256" i="82"/>
  <c r="J255" i="82"/>
  <c r="J250" i="82"/>
  <c r="J249" i="82"/>
  <c r="J248" i="82"/>
  <c r="J247" i="82"/>
  <c r="J246" i="82"/>
  <c r="J245" i="82"/>
  <c r="J244" i="82"/>
  <c r="J243" i="82"/>
  <c r="J242" i="82"/>
  <c r="J241" i="82"/>
  <c r="J240" i="82"/>
  <c r="J239" i="82"/>
  <c r="J238" i="82"/>
  <c r="J237" i="82"/>
  <c r="J236" i="82"/>
  <c r="J235" i="82"/>
  <c r="J234" i="82"/>
  <c r="J233" i="82"/>
  <c r="J232" i="82"/>
  <c r="J231" i="82"/>
  <c r="J230" i="82"/>
  <c r="J229" i="82"/>
  <c r="J228" i="82"/>
  <c r="J227" i="82"/>
  <c r="J226" i="82"/>
  <c r="J225" i="82"/>
  <c r="J220" i="82"/>
  <c r="J219" i="82"/>
  <c r="J218" i="82"/>
  <c r="J217" i="82"/>
  <c r="J216" i="82"/>
  <c r="J215" i="82"/>
  <c r="J214" i="82"/>
  <c r="J213" i="82"/>
  <c r="J212" i="82"/>
  <c r="J211" i="82"/>
  <c r="J210" i="82"/>
  <c r="J209" i="82"/>
  <c r="J208" i="82"/>
  <c r="J207" i="82"/>
  <c r="J206" i="82"/>
  <c r="J205" i="82"/>
  <c r="J204" i="82"/>
  <c r="J203" i="82"/>
  <c r="J202" i="82"/>
  <c r="J201" i="82"/>
  <c r="J200" i="82"/>
  <c r="J199" i="82"/>
  <c r="J194" i="82"/>
  <c r="J193" i="82"/>
  <c r="J192" i="82"/>
  <c r="J191" i="82"/>
  <c r="J190" i="82"/>
  <c r="J189" i="82"/>
  <c r="J188" i="82"/>
  <c r="J187" i="82"/>
  <c r="J186" i="82"/>
  <c r="J185" i="82"/>
  <c r="J184" i="82"/>
  <c r="J183" i="82"/>
  <c r="J182" i="82"/>
  <c r="J181" i="82"/>
  <c r="J180" i="82"/>
  <c r="J175" i="82"/>
  <c r="J174" i="82"/>
  <c r="J173" i="82"/>
  <c r="J172" i="82"/>
  <c r="J171" i="82"/>
  <c r="J170" i="82"/>
  <c r="J169" i="82"/>
  <c r="J168" i="82"/>
  <c r="J167" i="82"/>
  <c r="J166" i="82"/>
  <c r="J165" i="82"/>
  <c r="J164" i="82"/>
  <c r="J163" i="82"/>
  <c r="J162" i="82"/>
  <c r="J161" i="82"/>
  <c r="J160" i="82"/>
  <c r="J159" i="82"/>
  <c r="J158" i="82"/>
  <c r="J157" i="82"/>
  <c r="J156" i="82"/>
  <c r="J155" i="82"/>
  <c r="J154" i="82"/>
  <c r="J153" i="82"/>
  <c r="J122" i="82"/>
  <c r="J121" i="82"/>
  <c r="J120" i="82"/>
  <c r="J119" i="82"/>
  <c r="J118" i="82"/>
  <c r="J117" i="82"/>
  <c r="J116" i="82"/>
  <c r="J115" i="82"/>
  <c r="J114" i="82"/>
  <c r="J113" i="82"/>
  <c r="J112" i="82"/>
  <c r="J111" i="82"/>
  <c r="J110" i="82"/>
  <c r="J109" i="82"/>
  <c r="J108" i="82"/>
  <c r="J107" i="82"/>
  <c r="F101" i="82"/>
  <c r="G101" i="82"/>
  <c r="E102" i="82"/>
  <c r="H101" i="82"/>
  <c r="H102" i="82"/>
  <c r="E103" i="82"/>
  <c r="J101" i="82"/>
  <c r="I101" i="82"/>
  <c r="J43" i="82"/>
  <c r="J42" i="82"/>
  <c r="J41" i="82"/>
  <c r="J40" i="82"/>
  <c r="J39" i="82"/>
  <c r="J38" i="82"/>
  <c r="J37" i="82"/>
  <c r="J36" i="82"/>
  <c r="J35" i="82"/>
  <c r="J34" i="82"/>
  <c r="J33" i="82"/>
  <c r="J32" i="82"/>
  <c r="J31" i="82"/>
  <c r="J30" i="82"/>
  <c r="J29" i="82"/>
  <c r="J28" i="82"/>
  <c r="J27" i="82"/>
  <c r="J26" i="82"/>
  <c r="J25" i="82"/>
  <c r="J24" i="82"/>
  <c r="J23" i="82"/>
  <c r="J22" i="82"/>
  <c r="J21" i="82"/>
  <c r="J20" i="82"/>
  <c r="J19" i="82"/>
  <c r="J18" i="82"/>
  <c r="J17" i="82"/>
  <c r="J16" i="82"/>
  <c r="J15" i="82"/>
  <c r="J47" i="81"/>
  <c r="K47" i="81"/>
  <c r="L47" i="81"/>
  <c r="M47" i="81"/>
  <c r="O47"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O13" i="81"/>
  <c r="K13" i="81"/>
  <c r="L13" i="81"/>
  <c r="I11" i="81"/>
  <c r="I12" i="81"/>
  <c r="I13" i="81"/>
  <c r="J10" i="81"/>
  <c r="L10" i="81"/>
  <c r="I4" i="81"/>
  <c r="I5" i="81"/>
  <c r="I6" i="81"/>
  <c r="I7" i="81"/>
  <c r="I8" i="81"/>
  <c r="I9" i="81"/>
  <c r="I10" i="81"/>
  <c r="P20" i="77"/>
  <c r="P27" i="77"/>
  <c r="P30" i="77"/>
  <c r="P31" i="77"/>
  <c r="J27" i="77"/>
  <c r="J30" i="77"/>
  <c r="J31" i="77"/>
  <c r="O11" i="77"/>
  <c r="O13" i="77"/>
  <c r="O15" i="77"/>
  <c r="O16" i="77"/>
  <c r="O17" i="77"/>
  <c r="D13" i="4"/>
  <c r="V3" i="78"/>
  <c r="V4" i="78"/>
  <c r="V5" i="78"/>
  <c r="V6" i="78"/>
  <c r="V7" i="78"/>
  <c r="V8" i="78"/>
  <c r="V9" i="78"/>
  <c r="V10" i="78"/>
  <c r="V11" i="78"/>
  <c r="V12" i="78"/>
  <c r="V13" i="78"/>
  <c r="V14" i="78"/>
  <c r="V15" i="78"/>
  <c r="V16" i="78"/>
  <c r="V17" i="78"/>
  <c r="V18" i="78"/>
  <c r="V19" i="78"/>
  <c r="V20" i="78"/>
  <c r="V21" i="78"/>
  <c r="V22" i="78"/>
  <c r="V23" i="78"/>
  <c r="V24" i="78"/>
  <c r="V25" i="78"/>
  <c r="V26" i="78"/>
  <c r="V27" i="78"/>
  <c r="V28" i="78"/>
  <c r="V29" i="78"/>
  <c r="V30" i="78"/>
  <c r="V31" i="78"/>
  <c r="V32" i="78"/>
  <c r="V33" i="78"/>
  <c r="V34" i="78"/>
  <c r="V35" i="78"/>
  <c r="V36" i="78"/>
  <c r="V37" i="78"/>
  <c r="V38" i="78"/>
  <c r="V39" i="78"/>
  <c r="V40" i="78"/>
  <c r="V41" i="78"/>
  <c r="V42" i="78"/>
  <c r="V43" i="78"/>
  <c r="V44" i="78"/>
  <c r="V45" i="78"/>
  <c r="V46" i="78"/>
  <c r="V47" i="78"/>
  <c r="V48" i="78"/>
  <c r="V2" i="78"/>
  <c r="O5" i="77"/>
  <c r="O6" i="77"/>
  <c r="O7" i="77"/>
  <c r="O8" i="77"/>
  <c r="O21" i="77"/>
  <c r="O22" i="77"/>
  <c r="O26" i="77"/>
  <c r="O23" i="77"/>
  <c r="O24" i="77"/>
  <c r="O28" i="77"/>
  <c r="O29" i="77"/>
  <c r="O9" i="77"/>
  <c r="O18" i="77"/>
  <c r="O19"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9" i="74"/>
  <c r="F19" i="74"/>
  <c r="E20" i="74"/>
  <c r="F20" i="74"/>
  <c r="E21" i="74"/>
  <c r="F21" i="74"/>
  <c r="E22" i="74"/>
  <c r="F22" i="74"/>
  <c r="E23" i="74"/>
  <c r="F23" i="74"/>
  <c r="B3" i="74"/>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E32" i="6"/>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8" i="1"/>
  <c r="H15" i="4"/>
  <c r="F10" i="1"/>
  <c r="F11" i="1"/>
  <c r="F12" i="1"/>
  <c r="F13" i="1"/>
  <c r="D6"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G15" i="4"/>
  <c r="D15" i="4"/>
  <c r="F7" i="1"/>
  <c r="G7" i="1"/>
  <c r="L21" i="4"/>
  <c r="F19" i="4"/>
  <c r="F2" i="52"/>
  <c r="B50" i="72"/>
  <c r="D2" i="52"/>
  <c r="B46" i="72"/>
  <c r="B8" i="53"/>
  <c r="B23" i="72"/>
  <c r="L4" i="9"/>
  <c r="B17" i="72"/>
  <c r="B15" i="72"/>
  <c r="A3" i="51"/>
  <c r="C8" i="11"/>
  <c r="B2" i="49"/>
  <c r="B7" i="49"/>
  <c r="B40" i="48"/>
  <c r="B3" i="72"/>
  <c r="I2" i="43"/>
  <c r="N1" i="43"/>
  <c r="J55" i="39"/>
  <c r="H34" i="43"/>
  <c r="H35" i="43"/>
  <c r="H36" i="43"/>
  <c r="H37" i="43"/>
  <c r="H38" i="43"/>
  <c r="H39" i="43"/>
  <c r="H33" i="43"/>
  <c r="J20" i="43"/>
  <c r="C18" i="43"/>
  <c r="F15" i="43"/>
  <c r="E15" i="43"/>
  <c r="D15" i="43"/>
  <c r="C15" i="43"/>
  <c r="C10" i="43"/>
  <c r="C11" i="43"/>
  <c r="C9" i="43"/>
  <c r="A7" i="43"/>
  <c r="F33" i="15"/>
  <c r="F61" i="15"/>
  <c r="M19" i="15"/>
  <c r="B23" i="1"/>
  <c r="D78" i="9"/>
  <c r="F23" i="15"/>
  <c r="D24" i="15"/>
  <c r="F35" i="11"/>
  <c r="F36" i="11"/>
  <c r="F38" i="11"/>
  <c r="E37" i="11"/>
  <c r="F20" i="11"/>
  <c r="F21" i="11"/>
  <c r="C21" i="11"/>
  <c r="F7" i="11"/>
  <c r="C7" i="11"/>
  <c r="C5" i="11"/>
  <c r="I55" i="9"/>
  <c r="F55" i="9"/>
  <c r="O53"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G91"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B77" i="43"/>
  <c r="B71" i="43"/>
  <c r="B59" i="43"/>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U36" i="40"/>
  <c r="F36" i="43"/>
  <c r="F81" i="43"/>
  <c r="H83" i="43"/>
  <c r="F48" i="43"/>
  <c r="H52" i="43"/>
  <c r="F70" i="43"/>
  <c r="H73" i="43"/>
  <c r="M11" i="43"/>
  <c r="D17" i="43"/>
  <c r="F39" i="43"/>
  <c r="I17" i="43"/>
  <c r="F35" i="43"/>
  <c r="J17" i="43"/>
  <c r="F6" i="1"/>
  <c r="U17" i="39"/>
  <c r="S14" i="35"/>
  <c r="U43" i="21"/>
  <c r="U35" i="21"/>
  <c r="AC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H86" i="43"/>
  <c r="H82" i="43"/>
  <c r="H87" i="43"/>
  <c r="AE9" i="1"/>
  <c r="D93" i="9"/>
  <c r="E60" i="40"/>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E27" i="6"/>
  <c r="K22" i="6"/>
  <c r="S9" i="1"/>
  <c r="AR9" i="1"/>
  <c r="M22" i="6"/>
  <c r="I22" i="6"/>
  <c r="H22" i="6"/>
  <c r="R22" i="6"/>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61" i="39"/>
  <c r="E65" i="39"/>
  <c r="G30" i="6"/>
  <c r="G31" i="6"/>
  <c r="J56" i="9"/>
  <c r="J57" i="9"/>
  <c r="A24" i="51"/>
  <c r="B18" i="72"/>
  <c r="U29" i="34"/>
  <c r="C106" i="43"/>
  <c r="E64" i="39"/>
  <c r="D9" i="11"/>
  <c r="C9" i="11"/>
  <c r="J105" i="43"/>
  <c r="I115" i="43"/>
  <c r="J115" i="43"/>
  <c r="K115" i="43"/>
  <c r="L115" i="43"/>
  <c r="M115" i="43"/>
  <c r="G102" i="43"/>
  <c r="H22" i="43"/>
  <c r="L101" i="43"/>
  <c r="L109" i="43"/>
  <c r="H101" i="43"/>
  <c r="D101" i="43"/>
  <c r="D109" i="43"/>
  <c r="M101" i="43"/>
  <c r="M109" i="43"/>
  <c r="I101" i="43"/>
  <c r="I109" i="43"/>
  <c r="E101" i="43"/>
  <c r="G22" i="43"/>
  <c r="D22" i="43"/>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I19" i="6"/>
  <c r="M27" i="6"/>
  <c r="AC11" i="37"/>
  <c r="W11" i="37"/>
  <c r="W11" i="34"/>
  <c r="AC11" i="34"/>
  <c r="H20" i="6"/>
  <c r="B2" i="74"/>
  <c r="E6" i="3"/>
  <c r="D10" i="68"/>
  <c r="C10" i="68"/>
  <c r="D10" i="11"/>
  <c r="C10" i="11"/>
  <c r="D15" i="6"/>
  <c r="C18" i="4"/>
  <c r="D8" i="6"/>
  <c r="D14" i="6"/>
  <c r="R20" i="6"/>
  <c r="R7" i="1"/>
  <c r="D5" i="6"/>
  <c r="D6" i="6"/>
  <c r="D12" i="6"/>
  <c r="D9" i="6"/>
  <c r="D11" i="6"/>
  <c r="D10" i="6"/>
  <c r="D13" i="6"/>
  <c r="L19" i="9"/>
  <c r="E61" i="40"/>
  <c r="H25" i="6"/>
  <c r="R25" i="6"/>
  <c r="H23" i="6"/>
  <c r="H21" i="6"/>
  <c r="H26" i="6"/>
  <c r="H24" i="6"/>
  <c r="F34" i="11"/>
  <c r="C37" i="11"/>
  <c r="F34" i="68"/>
  <c r="H19" i="6"/>
  <c r="S19" i="6"/>
  <c r="S27" i="6"/>
  <c r="I27" i="6"/>
  <c r="F50" i="11"/>
  <c r="F50" i="69"/>
  <c r="F50" i="68"/>
  <c r="L16" i="1"/>
  <c r="C34" i="11"/>
  <c r="C38" i="11"/>
  <c r="R26" i="6"/>
  <c r="R23" i="6"/>
  <c r="R24" i="6"/>
  <c r="R21" i="6"/>
  <c r="R8" i="1"/>
  <c r="D16" i="6"/>
  <c r="A7" i="51"/>
  <c r="B7" i="72"/>
  <c r="C4" i="52"/>
  <c r="B45" i="72"/>
  <c r="A10" i="51"/>
  <c r="B9" i="72"/>
  <c r="H27" i="6"/>
  <c r="R19" i="6"/>
  <c r="C35" i="11"/>
  <c r="R27" i="6"/>
  <c r="R6" i="1"/>
  <c r="I5" i="6"/>
  <c r="E2" i="70"/>
  <c r="C34" i="69"/>
  <c r="D10" i="69"/>
  <c r="C10" i="69"/>
  <c r="S16" i="1"/>
  <c r="AE7" i="1"/>
  <c r="T16" i="1"/>
  <c r="AE8" i="1"/>
  <c r="AE6" i="1"/>
  <c r="AG6" i="1"/>
  <c r="C19" i="9"/>
  <c r="G19" i="9"/>
  <c r="C32"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C65" i="40"/>
  <c r="D63" i="40"/>
  <c r="AA7" i="33"/>
  <c r="R48" i="33"/>
  <c r="C36" i="11"/>
  <c r="C33" i="11"/>
  <c r="C39" i="11"/>
  <c r="C36" i="68"/>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20" i="11"/>
  <c r="Y9" i="71"/>
  <c r="Z9" i="71"/>
  <c r="E7" i="49"/>
  <c r="AB3" i="71"/>
  <c r="X3" i="71"/>
  <c r="E10" i="49"/>
  <c r="E14" i="49"/>
  <c r="P24" i="43"/>
  <c r="B66" i="40"/>
  <c r="P21" i="43"/>
  <c r="P22" i="43"/>
  <c r="B13" i="49"/>
  <c r="B9" i="49"/>
  <c r="D19" i="68"/>
  <c r="C19" i="68"/>
  <c r="E6" i="49"/>
  <c r="B8" i="49"/>
  <c r="E4" i="49"/>
  <c r="B14" i="49"/>
  <c r="B22" i="49"/>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L48" i="15"/>
  <c r="D2" i="34"/>
  <c r="F26" i="67"/>
  <c r="D2" i="33"/>
  <c r="M9" i="67"/>
  <c r="F40" i="15"/>
  <c r="B10" i="76"/>
  <c r="M27" i="67"/>
  <c r="F16" i="15"/>
  <c r="B8" i="76"/>
  <c r="M29" i="67"/>
  <c r="AO7" i="1"/>
  <c r="F20" i="31"/>
  <c r="M21" i="15"/>
  <c r="F5" i="73"/>
  <c r="D2" i="21"/>
  <c r="AO6" i="1"/>
  <c r="E11" i="76"/>
  <c r="F7" i="73"/>
  <c r="F43" i="15"/>
  <c r="F35" i="15"/>
  <c r="F36" i="67"/>
  <c r="M6" i="67"/>
  <c r="AO12" i="1"/>
  <c r="F6" i="67"/>
  <c r="F22" i="68"/>
  <c r="C24" i="68"/>
  <c r="F27" i="68"/>
  <c r="C26" i="68"/>
  <c r="D22" i="68"/>
  <c r="C29" i="68"/>
  <c r="D27" i="68"/>
  <c r="D37" i="68"/>
  <c r="C37" i="68"/>
  <c r="C38" i="68"/>
  <c r="C33" i="68"/>
  <c r="C39" i="68"/>
  <c r="C42" i="68"/>
  <c r="C43" i="68"/>
  <c r="C41" i="68"/>
  <c r="C46" i="68"/>
  <c r="C45" i="68"/>
  <c r="C44" i="68"/>
  <c r="D41" i="68"/>
  <c r="C47" i="68"/>
  <c r="D45" i="68"/>
  <c r="C49" i="68"/>
  <c r="C51" i="68"/>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L47" i="15"/>
  <c r="M6" i="15"/>
  <c r="F9" i="67"/>
  <c r="AO9" i="1"/>
  <c r="B11" i="76"/>
  <c r="F37" i="67"/>
  <c r="C14" i="15"/>
  <c r="F37" i="15"/>
  <c r="AO11" i="1"/>
  <c r="F41" i="15"/>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 i="73"/>
  <c r="F31" i="67"/>
  <c r="F31" i="15"/>
  <c r="E9" i="49"/>
  <c r="E13" i="49"/>
  <c r="B11" i="49"/>
  <c r="E21" i="49"/>
  <c r="E8" i="49"/>
  <c r="B10" i="49"/>
  <c r="E11" i="49"/>
  <c r="E22" i="49"/>
  <c r="B4" i="49"/>
  <c r="B6" i="49"/>
  <c r="R16" i="1"/>
  <c r="C8" i="69"/>
  <c r="C5" i="69"/>
  <c r="C6" i="15"/>
  <c r="F69" i="67"/>
  <c r="F71" i="67"/>
  <c r="B2" i="76"/>
  <c r="E2" i="76"/>
  <c r="E20" i="43"/>
  <c r="C27" i="15"/>
  <c r="I1" i="73"/>
  <c r="B39" i="1"/>
  <c r="B2" i="35"/>
  <c r="B3" i="35"/>
  <c r="F66" i="67"/>
  <c r="B10" i="70"/>
  <c r="F51" i="67"/>
  <c r="F69" i="15"/>
  <c r="B11" i="70"/>
  <c r="F65" i="15"/>
  <c r="C15" i="15"/>
  <c r="C18" i="15"/>
  <c r="F65" i="67"/>
  <c r="B9" i="70"/>
  <c r="N59" i="15"/>
  <c r="M59" i="15"/>
  <c r="L59" i="15"/>
  <c r="L58" i="15"/>
  <c r="B2" i="37"/>
  <c r="B3" i="37"/>
  <c r="M59" i="67"/>
  <c r="L58" i="67"/>
  <c r="N59" i="67"/>
  <c r="L59" i="67"/>
  <c r="B8" i="70"/>
  <c r="F66" i="15"/>
  <c r="F50" i="15"/>
  <c r="M7" i="15"/>
  <c r="Q71" i="67"/>
  <c r="B13" i="70"/>
  <c r="B2" i="36"/>
  <c r="B3" i="36"/>
  <c r="M7" i="67"/>
  <c r="J6" i="67"/>
  <c r="F50" i="67"/>
  <c r="Q71" i="15"/>
  <c r="F64" i="15"/>
  <c r="C34" i="67"/>
  <c r="F63" i="67"/>
  <c r="C62" i="67"/>
  <c r="J20" i="67"/>
  <c r="F70" i="67"/>
  <c r="F68" i="67"/>
  <c r="F51" i="15"/>
  <c r="C49" i="15"/>
  <c r="C6" i="67"/>
  <c r="B12" i="70"/>
  <c r="F64" i="67"/>
  <c r="C34" i="15"/>
  <c r="F63" i="15"/>
  <c r="C62" i="15"/>
  <c r="F71" i="15"/>
  <c r="B6" i="70"/>
  <c r="B2" i="21"/>
  <c r="B3" i="21"/>
  <c r="J20" i="15"/>
  <c r="B20" i="31"/>
  <c r="B7" i="70"/>
  <c r="F68" i="15"/>
  <c r="B2" i="33"/>
  <c r="B3" i="33"/>
  <c r="C27" i="67"/>
  <c r="B2" i="34"/>
  <c r="B3" i="34"/>
  <c r="J53" i="15"/>
  <c r="L56" i="15"/>
  <c r="J57" i="15"/>
  <c r="J55" i="15"/>
  <c r="J58" i="15"/>
  <c r="Q50" i="15"/>
  <c r="I54" i="15"/>
  <c r="J53" i="67"/>
  <c r="J57" i="67"/>
  <c r="J55" i="67"/>
  <c r="J58" i="67"/>
  <c r="Q50" i="67"/>
  <c r="L56" i="67"/>
  <c r="I54" i="67"/>
  <c r="C38" i="69"/>
  <c r="C35" i="69"/>
  <c r="D19" i="69"/>
  <c r="C17" i="67"/>
  <c r="C16" i="67"/>
  <c r="F59" i="15"/>
  <c r="F59" i="67"/>
  <c r="C14" i="67"/>
  <c r="M17" i="15"/>
  <c r="M17" i="67"/>
  <c r="C17" i="15"/>
  <c r="C16" i="15"/>
  <c r="C19" i="15"/>
  <c r="C15" i="67"/>
  <c r="C18" i="67"/>
  <c r="C19" i="67"/>
  <c r="C19" i="69"/>
  <c r="D37" i="69"/>
  <c r="C37" i="69"/>
  <c r="C33" i="69"/>
  <c r="Q61" i="67"/>
  <c r="Q74" i="67"/>
  <c r="Q60" i="67"/>
  <c r="Q73" i="67"/>
  <c r="Q74" i="15"/>
  <c r="Q61" i="15"/>
  <c r="C49" i="67"/>
  <c r="F11" i="67"/>
  <c r="M11" i="67"/>
  <c r="J10" i="67"/>
  <c r="M11" i="15"/>
  <c r="F11" i="15"/>
  <c r="M28" i="43"/>
  <c r="O28" i="43"/>
  <c r="P28" i="43"/>
  <c r="N28" i="43"/>
  <c r="B3" i="76"/>
  <c r="C32" i="15"/>
  <c r="Q52" i="67"/>
  <c r="F1" i="67"/>
  <c r="Q52" i="15"/>
  <c r="F1" i="15"/>
  <c r="B2" i="70"/>
  <c r="B3" i="70"/>
  <c r="J18" i="67"/>
  <c r="J5" i="67"/>
  <c r="C32" i="67"/>
  <c r="Q60" i="15"/>
  <c r="Q73" i="15"/>
  <c r="J6" i="15"/>
  <c r="C39" i="69"/>
  <c r="J10" i="15"/>
  <c r="J18" i="15"/>
  <c r="J5" i="15"/>
  <c r="J26" i="67"/>
  <c r="J29" i="67"/>
  <c r="J24" i="67"/>
  <c r="C53" i="15"/>
  <c r="C48" i="15"/>
  <c r="C10" i="15"/>
  <c r="C5" i="15"/>
  <c r="C10" i="67"/>
  <c r="C5" i="67"/>
  <c r="C53" i="67"/>
  <c r="C48" i="67"/>
  <c r="C20" i="69"/>
  <c r="F24" i="67"/>
  <c r="C24" i="67"/>
  <c r="F24" i="15"/>
  <c r="C24" i="15"/>
  <c r="F22" i="69"/>
  <c r="F22" i="11"/>
  <c r="C20" i="67"/>
  <c r="C26" i="67"/>
  <c r="C20" i="15"/>
  <c r="C23" i="67"/>
  <c r="C25" i="69"/>
  <c r="C29" i="67"/>
  <c r="C66" i="67"/>
  <c r="C60" i="67"/>
  <c r="C23" i="15"/>
  <c r="C26" i="15"/>
  <c r="C29" i="15"/>
  <c r="C44" i="69"/>
  <c r="D41" i="69"/>
  <c r="C26" i="69"/>
  <c r="D22" i="69"/>
  <c r="C23" i="69"/>
  <c r="C24" i="69"/>
  <c r="C60" i="15"/>
  <c r="C66" i="15"/>
  <c r="C43" i="69"/>
  <c r="C42" i="69"/>
  <c r="C44" i="11"/>
  <c r="D41" i="11"/>
  <c r="C26" i="11"/>
  <c r="D22" i="11"/>
  <c r="C23" i="11"/>
  <c r="C43" i="11"/>
  <c r="C42" i="11"/>
  <c r="C25" i="11"/>
  <c r="C24" i="11"/>
  <c r="C38" i="67"/>
  <c r="C38" i="15"/>
  <c r="J26" i="15"/>
  <c r="J29" i="15"/>
  <c r="J24" i="15"/>
  <c r="C41" i="11"/>
  <c r="Q49" i="15"/>
  <c r="J14" i="15"/>
  <c r="C36" i="15"/>
  <c r="C33" i="15"/>
  <c r="C31" i="15"/>
  <c r="C57" i="15"/>
  <c r="J19" i="15"/>
  <c r="J17" i="15"/>
  <c r="C13" i="15"/>
  <c r="J59" i="15"/>
  <c r="J60" i="15"/>
  <c r="C41" i="69"/>
  <c r="C22" i="69"/>
  <c r="J19" i="67"/>
  <c r="J17" i="67"/>
  <c r="C33" i="67"/>
  <c r="C31" i="67"/>
  <c r="C13" i="67"/>
  <c r="C57" i="67"/>
  <c r="Q49" i="67"/>
  <c r="C36" i="67"/>
  <c r="J14" i="67"/>
  <c r="J59" i="67"/>
  <c r="J60" i="67"/>
  <c r="C22" i="11"/>
  <c r="Q48" i="15"/>
  <c r="L46" i="15"/>
  <c r="J22" i="15"/>
  <c r="J13" i="15"/>
  <c r="J23" i="15"/>
  <c r="Q48" i="67"/>
  <c r="L46" i="67"/>
  <c r="C64" i="67"/>
  <c r="C61" i="67"/>
  <c r="C59" i="67"/>
  <c r="J13" i="67"/>
  <c r="J23" i="67"/>
  <c r="J22" i="67"/>
  <c r="C75" i="67"/>
  <c r="C56" i="67"/>
  <c r="C65" i="67"/>
  <c r="C37" i="67"/>
  <c r="C30" i="67"/>
  <c r="C39" i="67"/>
  <c r="Q70" i="67"/>
  <c r="Q70" i="15"/>
  <c r="C75" i="15"/>
  <c r="C56" i="15"/>
  <c r="C65" i="15"/>
  <c r="C37" i="15"/>
  <c r="C30" i="15"/>
  <c r="C39" i="15"/>
  <c r="C64" i="15"/>
  <c r="C61" i="15"/>
  <c r="C59" i="15"/>
  <c r="C58" i="15"/>
  <c r="C67" i="15"/>
  <c r="C68" i="15"/>
  <c r="J16" i="67"/>
  <c r="J25" i="67"/>
  <c r="J16" i="15"/>
  <c r="J25" i="15"/>
  <c r="Q69" i="15"/>
  <c r="Q68" i="15"/>
  <c r="C40" i="15"/>
  <c r="Q69" i="67"/>
  <c r="Q68" i="67"/>
  <c r="C40" i="67"/>
  <c r="C71" i="15"/>
  <c r="C80" i="67"/>
  <c r="C79" i="67"/>
  <c r="C80" i="15"/>
  <c r="C79" i="15"/>
  <c r="C58" i="67"/>
  <c r="C67" i="67"/>
  <c r="C68" i="67"/>
  <c r="L51" i="15"/>
  <c r="L51" i="67"/>
  <c r="Q67" i="67"/>
  <c r="L57" i="67"/>
  <c r="L60" i="67"/>
  <c r="Q67" i="15"/>
  <c r="L57" i="15"/>
  <c r="L60" i="15"/>
  <c r="B2" i="15"/>
  <c r="B3"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F27" i="69"/>
  <c r="C46" i="69"/>
  <c r="C45" i="69"/>
  <c r="C47" i="69"/>
  <c r="D45" i="69"/>
  <c r="C49" i="69"/>
  <c r="C51" i="69"/>
  <c r="C28" i="69"/>
  <c r="C27" i="69"/>
  <c r="C29" i="69"/>
  <c r="D27" i="69"/>
  <c r="C31" i="69"/>
  <c r="C52" i="69"/>
  <c r="C57" i="69"/>
  <c r="C56" i="69"/>
  <c r="F27" i="11"/>
  <c r="C46" i="11"/>
  <c r="C45" i="11"/>
  <c r="C47" i="11"/>
  <c r="D45" i="11"/>
  <c r="C49" i="11"/>
  <c r="C51" i="11"/>
  <c r="C28" i="11"/>
  <c r="C27" i="11"/>
  <c r="C29" i="11"/>
  <c r="D27" i="11"/>
  <c r="C31" i="11"/>
  <c r="C52" i="11"/>
  <c r="C56" i="11"/>
  <c r="C57" i="11"/>
  <c r="B2" i="11"/>
  <c r="B3" i="11"/>
  <c r="B2" i="69"/>
  <c r="B3" i="69"/>
  <c r="B3" i="12"/>
  <c r="D20" i="9"/>
  <c r="D103" i="9"/>
  <c r="D102" i="9"/>
  <c r="D21" i="9"/>
  <c r="Q18" i="1"/>
  <c r="G16" i="1"/>
  <c r="J10" i="87"/>
  <c r="AC10" i="87"/>
  <c r="V47" i="87"/>
  <c r="I47" i="87"/>
  <c r="F10" i="87"/>
  <c r="AA10" i="87"/>
  <c r="R47" i="87"/>
  <c r="E47" i="87"/>
  <c r="I52" i="87"/>
  <c r="J52" i="87"/>
  <c r="H10" i="87"/>
  <c r="AB10" i="87"/>
  <c r="T47" i="87"/>
  <c r="G47" i="87"/>
  <c r="G52" i="87"/>
  <c r="H52" i="87"/>
  <c r="E52" i="87"/>
  <c r="F52" i="87"/>
  <c r="I51" i="87"/>
  <c r="J51" i="87"/>
  <c r="G51" i="87"/>
  <c r="H51" i="87"/>
  <c r="E51" i="87"/>
  <c r="F51" i="87"/>
  <c r="R48" i="87"/>
  <c r="C47" i="87"/>
  <c r="W10" i="87"/>
  <c r="U10" i="87"/>
  <c r="S10" i="87"/>
  <c r="C48" i="87"/>
  <c r="B56" i="87"/>
  <c r="F56" i="87"/>
  <c r="B57" i="87"/>
  <c r="F57" i="87"/>
  <c r="B58" i="87"/>
  <c r="F58" i="87"/>
  <c r="B59" i="87"/>
  <c r="F59" i="87"/>
  <c r="B60" i="87"/>
  <c r="F60" i="87"/>
  <c r="B61" i="87"/>
  <c r="F61" i="87"/>
  <c r="B62" i="87"/>
  <c r="F62" i="87"/>
  <c r="B63" i="87"/>
  <c r="F63" i="87"/>
  <c r="B64" i="87"/>
  <c r="F64" i="87"/>
  <c r="B65" i="87"/>
  <c r="F65" i="87"/>
  <c r="F66" i="87"/>
  <c r="B2" i="87"/>
  <c r="B3" i="87"/>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G22" i="9"/>
  <c r="D45" i="9"/>
  <c r="C64" i="9"/>
  <c r="C63" i="9"/>
  <c r="C67" i="9"/>
  <c r="C68" i="9"/>
  <c r="D54" i="9"/>
  <c r="C6" i="68"/>
  <c r="C7" i="68"/>
  <c r="C5" i="68"/>
  <c r="C20" i="68"/>
  <c r="C23" i="68"/>
  <c r="C25" i="68"/>
  <c r="C22" i="68"/>
  <c r="C28" i="68"/>
  <c r="C27" i="68"/>
  <c r="C31" i="68"/>
  <c r="C52" i="68"/>
  <c r="B2" i="68"/>
  <c r="B3" i="68"/>
  <c r="C57" i="68"/>
  <c r="C56" i="68"/>
  <c r="D34" i="9"/>
  <c r="D53" i="9"/>
  <c r="D48" i="9"/>
  <c r="M52" i="9"/>
  <c r="D55" i="9"/>
  <c r="M53" i="9"/>
  <c r="C85" i="9"/>
  <c r="C93" i="9"/>
  <c r="C86" i="9"/>
  <c r="C95" i="9"/>
  <c r="C96" i="9"/>
  <c r="C97" i="9"/>
  <c r="D58" i="9"/>
  <c r="D56" i="9"/>
  <c r="M54" i="9"/>
  <c r="N57" i="9"/>
  <c r="N59" i="9"/>
  <c r="N60" i="9"/>
  <c r="N61" i="9"/>
  <c r="P57" i="9"/>
  <c r="N58" i="9"/>
  <c r="D122" i="9"/>
  <c r="G14" i="74"/>
  <c r="B6" i="74"/>
  <c r="C6" i="74"/>
  <c r="D6" i="74"/>
  <c r="E96" i="9"/>
  <c r="E97" i="9"/>
  <c r="C72" i="9"/>
  <c r="C78" i="9"/>
  <c r="C73" i="9"/>
  <c r="C79" i="9"/>
  <c r="C80" i="9"/>
  <c r="E80" i="9"/>
  <c r="E81" i="9"/>
  <c r="C81" i="9"/>
  <c r="D13" i="53"/>
  <c r="B30" i="72"/>
  <c r="D14" i="53"/>
  <c r="B32" i="72"/>
  <c r="D8" i="52"/>
  <c r="D123" i="9"/>
  <c r="D9" i="52"/>
  <c r="H108" i="9"/>
  <c r="D15" i="53"/>
  <c r="B31" i="72"/>
  <c r="D5" i="53"/>
  <c r="D6" i="53"/>
  <c r="B22" i="72"/>
  <c r="B20" i="72"/>
  <c r="D52" i="9"/>
  <c r="I118" i="9"/>
  <c r="I4" i="52"/>
  <c r="D35" i="9"/>
  <c r="C35" i="9"/>
  <c r="F118" i="9"/>
  <c r="G118" i="9"/>
  <c r="E118" i="9"/>
  <c r="E4" i="52"/>
  <c r="B48" i="72"/>
  <c r="H102" i="9"/>
  <c r="D7" i="53"/>
  <c r="B21" i="72"/>
  <c r="C105" i="9"/>
  <c r="D14" i="74"/>
  <c r="F14" i="74"/>
  <c r="E14" i="74"/>
  <c r="M48" i="9"/>
  <c r="F119" i="9"/>
  <c r="F5" i="52"/>
  <c r="B53" i="72"/>
  <c r="F4" i="52"/>
  <c r="B51" i="72"/>
  <c r="G4" i="52"/>
  <c r="B52" i="72"/>
  <c r="C34" i="9"/>
  <c r="D118" i="9"/>
  <c r="D119" i="9"/>
  <c r="D5" i="52"/>
  <c r="B49" i="72"/>
  <c r="C104" i="9"/>
  <c r="H4" i="52"/>
  <c r="H119" i="9"/>
  <c r="H5" i="52"/>
  <c r="D4" i="52"/>
  <c r="B47" i="72"/>
  <c r="G21" i="9"/>
  <c r="C102" i="9"/>
  <c r="C21" i="9"/>
  <c r="D22" i="9"/>
  <c r="B3" i="39"/>
  <c r="C20" i="9"/>
  <c r="G20" i="9"/>
  <c r="C103" i="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J21" i="9"/>
  <c r="F15" i="74"/>
  <c r="E15" i="74"/>
  <c r="J20" i="9"/>
  <c r="E17" i="74"/>
  <c r="F17" i="74"/>
  <c r="F16" i="74"/>
  <c r="E16" i="74"/>
  <c r="D18" i="74"/>
  <c r="B5" i="74"/>
  <c r="C5" i="74"/>
  <c r="D5" i="74"/>
  <c r="K86" i="9"/>
  <c r="K89" i="9"/>
  <c r="K90" i="9"/>
  <c r="E18" i="74"/>
  <c r="F1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B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E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E00-000002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0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2200-00000300000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00000000-0006-0000-22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2200-000005000000}">
      <text>
        <r>
          <rPr>
            <sz val="11"/>
            <color rgb="FF000000"/>
            <rFont val="宋体"/>
            <family val="3"/>
            <charset val="134"/>
          </rPr>
          <t>在建项目均选择“是”</t>
        </r>
      </text>
    </comment>
    <comment ref="F59"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200-000007000000}">
      <text>
        <r>
          <rPr>
            <sz val="10"/>
            <color rgb="FF000000"/>
            <rFont val="宋体"/>
            <family val="3"/>
            <charset val="134"/>
          </rPr>
          <t>在建</t>
        </r>
        <r>
          <rPr>
            <sz val="10"/>
            <color rgb="FF000000"/>
            <rFont val="宋体"/>
            <family val="3"/>
            <charset val="134"/>
          </rPr>
          <t xml:space="preserve">
</t>
        </r>
      </text>
    </comment>
    <comment ref="N59" authorId="1" shapeId="0" xr:uid="{00000000-0006-0000-2200-000008000000}">
      <text>
        <r>
          <rPr>
            <sz val="10"/>
            <color rgb="FF000000"/>
            <rFont val="宋体"/>
            <family val="3"/>
            <charset val="134"/>
          </rPr>
          <t>土地</t>
        </r>
        <r>
          <rPr>
            <sz val="10"/>
            <color rgb="FF000000"/>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00000000-0006-0000-2300-00000300000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xr:uid="{00000000-0006-0000-2300-00000400000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0000000-0006-0000-2300-000005000000}">
      <text>
        <r>
          <rPr>
            <sz val="11"/>
            <color rgb="FF000000"/>
            <rFont val="宋体"/>
            <family val="3"/>
            <charset val="134"/>
          </rPr>
          <t>在建项目均选择“是”</t>
        </r>
        <r>
          <rPr>
            <sz val="11"/>
            <color rgb="FF000000"/>
            <rFont val="宋体"/>
            <family val="3"/>
            <charset val="134"/>
          </rPr>
          <t xml:space="preserve">
</t>
        </r>
      </text>
    </comment>
    <comment ref="F59"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3000000}">
      <text>
        <r>
          <rPr>
            <b/>
            <sz val="12"/>
            <color indexed="81"/>
            <rFont val="宋体"/>
            <family val="3"/>
            <charset val="134"/>
          </rPr>
          <t>所属项目品质或
物业管理</t>
        </r>
      </text>
    </comment>
    <comment ref="B90" authorId="0" shapeId="0" xr:uid="{00000000-0006-0000-2A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rgb="FF000000"/>
            <rFont val="宋体"/>
            <family val="3"/>
            <charset val="134"/>
            <scheme val="minor"/>
          </rPr>
          <t>如果有推广名请自行加入</t>
        </r>
        <r>
          <rPr>
            <sz val="9"/>
            <color rgb="FF000000"/>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xr:uid="{00000000-0006-0000-0A00-00000800000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xr:uid="{00000000-0006-0000-0A00-000009000000}">
      <text>
        <r>
          <rPr>
            <sz val="11"/>
            <color rgb="FF000000"/>
            <rFont val="宋体"/>
            <family val="3"/>
            <charset val="134"/>
            <scheme val="minor"/>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3000000}">
      <text>
        <r>
          <rPr>
            <b/>
            <sz val="12"/>
            <color indexed="81"/>
            <rFont val="宋体"/>
            <family val="3"/>
            <charset val="134"/>
          </rPr>
          <t>所属项目品质或
物业管理</t>
        </r>
      </text>
    </comment>
    <comment ref="B86" authorId="0" shapeId="0" xr:uid="{00000000-0006-0000-2B00-000004000000}">
      <text>
        <r>
          <rPr>
            <b/>
            <sz val="12"/>
            <color indexed="81"/>
            <rFont val="宋体"/>
            <family val="3"/>
            <charset val="134"/>
          </rPr>
          <t>所属项目品质</t>
        </r>
      </text>
    </comment>
    <comment ref="B89"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C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C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D17" authorId="2" shapeId="0" xr:uid="{00000000-0006-0000-2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D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2D00-000005000000}">
      <text>
        <r>
          <rPr>
            <b/>
            <sz val="9"/>
            <color rgb="FF000000"/>
            <rFont val="宋体"/>
            <family val="3"/>
            <charset val="134"/>
          </rPr>
          <t>需在此处填写剩余土地年限</t>
        </r>
        <r>
          <rPr>
            <sz val="9"/>
            <color rgb="FF000000"/>
            <rFont val="宋体"/>
            <family val="3"/>
            <charset val="134"/>
          </rPr>
          <t xml:space="preserve">
</t>
        </r>
      </text>
    </comment>
    <comment ref="C99" authorId="0" shapeId="0" xr:uid="{00000000-0006-0000-2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D00-000012000000}">
      <text>
        <r>
          <rPr>
            <b/>
            <sz val="9"/>
            <color indexed="81"/>
            <rFont val="宋体"/>
            <family val="3"/>
            <charset val="134"/>
          </rPr>
          <t xml:space="preserve">容积率
</t>
        </r>
      </text>
    </comment>
    <comment ref="D101" authorId="0" shapeId="0" xr:uid="{00000000-0006-0000-2D00-000013000000}">
      <text>
        <r>
          <rPr>
            <b/>
            <sz val="9"/>
            <color indexed="81"/>
            <rFont val="宋体"/>
            <family val="3"/>
            <charset val="134"/>
          </rPr>
          <t xml:space="preserve">容积率
</t>
        </r>
      </text>
    </comment>
    <comment ref="E101" authorId="0" shapeId="0" xr:uid="{00000000-0006-0000-2D00-000014000000}">
      <text>
        <r>
          <rPr>
            <b/>
            <sz val="9"/>
            <color indexed="81"/>
            <rFont val="宋体"/>
            <family val="3"/>
            <charset val="134"/>
          </rPr>
          <t xml:space="preserve">容积率
</t>
        </r>
      </text>
    </comment>
    <comment ref="F101" authorId="0" shapeId="0" xr:uid="{00000000-0006-0000-2D00-000015000000}">
      <text>
        <r>
          <rPr>
            <b/>
            <sz val="9"/>
            <color indexed="81"/>
            <rFont val="宋体"/>
            <family val="3"/>
            <charset val="134"/>
          </rPr>
          <t xml:space="preserve">容积率
</t>
        </r>
      </text>
    </comment>
    <comment ref="G101" authorId="0" shapeId="0" xr:uid="{00000000-0006-0000-2D00-000016000000}">
      <text>
        <r>
          <rPr>
            <b/>
            <sz val="9"/>
            <color indexed="81"/>
            <rFont val="宋体"/>
            <family val="3"/>
            <charset val="134"/>
          </rPr>
          <t xml:space="preserve">容积率
</t>
        </r>
      </text>
    </comment>
    <comment ref="H101" authorId="0" shapeId="0" xr:uid="{00000000-0006-0000-2D00-000017000000}">
      <text>
        <r>
          <rPr>
            <b/>
            <sz val="9"/>
            <color indexed="81"/>
            <rFont val="宋体"/>
            <family val="3"/>
            <charset val="134"/>
          </rPr>
          <t xml:space="preserve">容积率
</t>
        </r>
      </text>
    </comment>
    <comment ref="I101" authorId="0" shapeId="0" xr:uid="{00000000-0006-0000-2D00-000018000000}">
      <text>
        <r>
          <rPr>
            <b/>
            <sz val="9"/>
            <color indexed="81"/>
            <rFont val="宋体"/>
            <family val="3"/>
            <charset val="134"/>
          </rPr>
          <t xml:space="preserve">容积率
</t>
        </r>
      </text>
    </comment>
    <comment ref="J101" authorId="0" shapeId="0" xr:uid="{00000000-0006-0000-2D00-000019000000}">
      <text>
        <r>
          <rPr>
            <b/>
            <sz val="9"/>
            <color indexed="81"/>
            <rFont val="宋体"/>
            <family val="3"/>
            <charset val="134"/>
          </rPr>
          <t xml:space="preserve">容积率
</t>
        </r>
      </text>
    </comment>
    <comment ref="K101" authorId="0" shapeId="0" xr:uid="{00000000-0006-0000-2D00-00001A000000}">
      <text>
        <r>
          <rPr>
            <b/>
            <sz val="9"/>
            <color indexed="81"/>
            <rFont val="宋体"/>
            <family val="3"/>
            <charset val="134"/>
          </rPr>
          <t xml:space="preserve">容积率
</t>
        </r>
      </text>
    </comment>
    <comment ref="L101" authorId="0" shapeId="0" xr:uid="{00000000-0006-0000-2D00-00001B000000}">
      <text>
        <r>
          <rPr>
            <b/>
            <sz val="9"/>
            <color indexed="81"/>
            <rFont val="宋体"/>
            <family val="3"/>
            <charset val="134"/>
          </rPr>
          <t xml:space="preserve">容积率
</t>
        </r>
      </text>
    </comment>
    <comment ref="M101" authorId="0" shapeId="0" xr:uid="{00000000-0006-0000-2D00-00001C000000}">
      <text>
        <r>
          <rPr>
            <b/>
            <sz val="9"/>
            <color indexed="81"/>
            <rFont val="宋体"/>
            <family val="3"/>
            <charset val="134"/>
          </rPr>
          <t xml:space="preserve">容积率
</t>
        </r>
      </text>
    </comment>
    <comment ref="N101" authorId="0" shapeId="0" xr:uid="{00000000-0006-0000-2D00-00001D000000}">
      <text>
        <r>
          <rPr>
            <b/>
            <sz val="9"/>
            <color indexed="81"/>
            <rFont val="宋体"/>
            <family val="3"/>
            <charset val="134"/>
          </rPr>
          <t xml:space="preserve">容积率
</t>
        </r>
      </text>
    </comment>
    <comment ref="C108" authorId="0" shapeId="0" xr:uid="{00000000-0006-0000-2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rgb="FF000000"/>
            <rFont val="宋体"/>
            <family val="3"/>
            <charset val="134"/>
          </rPr>
          <t>依《国土证》或《不动产证》录入</t>
        </r>
        <r>
          <rPr>
            <sz val="9"/>
            <color rgb="FF000000"/>
            <rFont val="宋体"/>
            <family val="3"/>
            <charset val="134"/>
          </rPr>
          <t xml:space="preserve">
</t>
        </r>
      </text>
    </comment>
    <comment ref="AC8" authorId="0" shapeId="0" xr:uid="{00000000-0006-0000-0B00-00000300000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1" authorId="0" shapeId="0" xr:uid="{00000000-0006-0000-1200-000001000000}">
      <text>
        <r>
          <rPr>
            <b/>
            <sz val="9"/>
            <color indexed="81"/>
            <rFont val="宋体"/>
            <family val="3"/>
            <charset val="134"/>
          </rPr>
          <t>作者:</t>
        </r>
        <r>
          <rPr>
            <sz val="9"/>
            <color indexed="81"/>
            <rFont val="宋体"/>
            <family val="3"/>
            <charset val="134"/>
          </rPr>
          <t xml:space="preserve">
原南昌茵梦湖旅游开发有限公司</t>
        </r>
      </text>
    </comment>
    <comment ref="B12" authorId="0" shapeId="0" xr:uid="{00000000-0006-0000-1200-000002000000}">
      <text>
        <r>
          <rPr>
            <b/>
            <sz val="9"/>
            <color indexed="81"/>
            <rFont val="宋体"/>
            <family val="3"/>
            <charset val="134"/>
          </rPr>
          <t>作者:</t>
        </r>
        <r>
          <rPr>
            <sz val="9"/>
            <color indexed="81"/>
            <rFont val="宋体"/>
            <family val="3"/>
            <charset val="134"/>
          </rPr>
          <t xml:space="preserve">
原南昌茵梦湖旅游开发有限公司</t>
        </r>
      </text>
    </comment>
    <comment ref="B13" authorId="0" shapeId="0" xr:uid="{00000000-0006-0000-1200-000003000000}">
      <text>
        <r>
          <rPr>
            <b/>
            <sz val="9"/>
            <color indexed="81"/>
            <rFont val="宋体"/>
            <family val="3"/>
            <charset val="134"/>
          </rPr>
          <t>作者:</t>
        </r>
        <r>
          <rPr>
            <sz val="9"/>
            <color indexed="81"/>
            <rFont val="宋体"/>
            <family val="3"/>
            <charset val="134"/>
          </rPr>
          <t xml:space="preserve">
原南昌茵梦湖旅游开发有限公司</t>
        </r>
      </text>
    </comment>
    <comment ref="B14" authorId="0" shapeId="0" xr:uid="{00000000-0006-0000-1200-000004000000}">
      <text>
        <r>
          <rPr>
            <b/>
            <sz val="9"/>
            <color indexed="81"/>
            <rFont val="宋体"/>
            <family val="3"/>
            <charset val="134"/>
          </rPr>
          <t>作者:</t>
        </r>
        <r>
          <rPr>
            <sz val="9"/>
            <color indexed="81"/>
            <rFont val="宋体"/>
            <family val="3"/>
            <charset val="134"/>
          </rPr>
          <t xml:space="preserve">
原南昌茵梦湖旅游开发有限公司</t>
        </r>
      </text>
    </comment>
    <comment ref="B15" authorId="0" shapeId="0" xr:uid="{00000000-0006-0000-1200-000005000000}">
      <text>
        <r>
          <rPr>
            <b/>
            <sz val="9"/>
            <color indexed="81"/>
            <rFont val="宋体"/>
            <family val="3"/>
            <charset val="134"/>
          </rPr>
          <t>作者:</t>
        </r>
        <r>
          <rPr>
            <sz val="9"/>
            <color indexed="81"/>
            <rFont val="宋体"/>
            <family val="3"/>
            <charset val="134"/>
          </rPr>
          <t xml:space="preserve">
原南昌茵梦湖旅游开发有限公司</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4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400-00000200000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5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5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15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5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15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15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600-000001000000}">
      <text>
        <r>
          <rPr>
            <sz val="12"/>
            <color indexed="81"/>
            <rFont val="宋体"/>
            <family val="3"/>
            <charset val="134"/>
          </rPr>
          <t xml:space="preserve">指区域居住用地比例、居住小区规模和社区发展完善程度
</t>
        </r>
      </text>
    </comment>
    <comment ref="F3" authorId="0" shapeId="0" xr:uid="{00000000-0006-0000-1600-000002000000}">
      <text>
        <r>
          <rPr>
            <sz val="12"/>
            <color indexed="81"/>
            <rFont val="宋体"/>
            <family val="3"/>
            <charset val="134"/>
          </rPr>
          <t xml:space="preserve">也指工业区成熟度，工业区性质、相关产业的配套及集聚状况
</t>
        </r>
      </text>
    </comment>
    <comment ref="B4" authorId="0" shapeId="0" xr:uid="{00000000-0006-0000-16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6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6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6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600-000007000000}">
      <text>
        <r>
          <rPr>
            <sz val="12"/>
            <color indexed="81"/>
            <rFont val="宋体"/>
            <family val="3"/>
            <charset val="134"/>
          </rPr>
          <t>主要指污染排放状况及治理状况、距离危险设施或污染源的临近程度、自然条件等</t>
        </r>
      </text>
    </comment>
    <comment ref="B9" authorId="0" shapeId="0" xr:uid="{00000000-0006-0000-16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<sst xmlns="http://schemas.openxmlformats.org/spreadsheetml/2006/main" count="10125" uniqueCount="4322">
  <si>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</si>
  <si>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</si>
  <si>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</si>
  <si>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</si>
  <si>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</si>
  <si>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</si>
  <si>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</si>
  <si>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</si>
  <si>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</si>
  <si>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</si>
  <si>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</si>
  <si>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</si>
  <si>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</si>
  <si>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</si>
  <si>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</si>
  <si>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</si>
  <si>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</si>
  <si>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</si>
  <si>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</si>
  <si>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</si>
  <si>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</si>
  <si>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</si>
  <si>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</si>
  <si>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</si>
  <si>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</si>
  <si>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</si>
  <si>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</si>
  <si>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</si>
  <si>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</si>
  <si>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</si>
  <si>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</si>
  <si>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</si>
  <si>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</si>
  <si>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</si>
  <si>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</si>
  <si>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</si>
  <si>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</si>
  <si>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</si>
  <si>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</si>
  <si>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</si>
  <si>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</si>
  <si>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</si>
  <si>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</si>
  <si>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</si>
  <si>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</si>
  <si>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</si>
  <si>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</si>
  <si>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</si>
  <si>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</si>
  <si>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</si>
  <si>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</si>
  <si>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</si>
  <si>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</si>
  <si>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</si>
  <si>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</si>
  <si>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</si>
  <si>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</si>
  <si>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</si>
  <si>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</si>
  <si>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</si>
  <si>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</si>
  <si>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</si>
  <si>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</si>
  <si>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</si>
  <si>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</si>
  <si>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</si>
  <si>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</si>
  <si>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</si>
  <si>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</si>
  <si>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</si>
  <si>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</si>
  <si>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</si>
  <si>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</si>
  <si>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</si>
  <si>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</si>
  <si>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</si>
  <si>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</si>
  <si>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</si>
  <si>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</si>
  <si>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</si>
  <si>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</si>
  <si>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</si>
  <si>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</si>
  <si>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</si>
  <si>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</si>
  <si>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</si>
  <si>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</si>
  <si>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</si>
  <si>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</si>
  <si>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</si>
  <si>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</si>
  <si>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</si>
  <si>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</si>
  <si>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</si>
  <si>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</si>
  <si>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</si>
  <si>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</si>
  <si>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</si>
  <si>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</si>
  <si>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</si>
  <si>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</si>
  <si>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</si>
  <si>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</si>
  <si>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</si>
  <si>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</si>
  <si>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</si>
  <si>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</si>
  <si>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</si>
  <si>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</si>
  <si>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</si>
  <si>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</si>
  <si>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</si>
  <si>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</si>
  <si>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</si>
  <si>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</si>
  <si>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</si>
  <si>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</si>
  <si>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</si>
  <si>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</si>
  <si>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</si>
  <si>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</si>
  <si>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</si>
  <si>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</si>
  <si>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</si>
  <si>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</si>
  <si>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</si>
  <si>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</si>
  <si>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</si>
  <si>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</si>
  <si>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</si>
  <si>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</si>
  <si>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</si>
  <si>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</si>
  <si>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</si>
  <si>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</si>
  <si>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</si>
  <si>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</si>
  <si>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</si>
  <si>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</si>
  <si>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</si>
  <si>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</si>
  <si>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</si>
  <si>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</si>
  <si>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</si>
  <si>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</si>
  <si>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</si>
  <si>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</si>
  <si>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</si>
  <si>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</si>
  <si>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</si>
  <si>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</si>
  <si>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</si>
  <si>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</si>
  <si>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</si>
  <si>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</si>
  <si>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</si>
  <si>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</si>
  <si>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</si>
  <si>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</si>
  <si>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</si>
  <si>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</si>
  <si>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</si>
  <si>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</si>
  <si>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</si>
  <si>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</si>
  <si>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</si>
  <si>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</si>
  <si>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</si>
  <si>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</si>
  <si>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</si>
  <si>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</si>
  <si>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</si>
  <si>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</si>
  <si>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</si>
  <si>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</si>
  <si>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</si>
  <si>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</si>
  <si>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</si>
  <si>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</si>
  <si>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</si>
  <si>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</si>
  <si>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</si>
  <si>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</si>
  <si>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</si>
  <si>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</si>
  <si>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</si>
  <si>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</si>
  <si>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</si>
  <si>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</si>
  <si>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</si>
  <si>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</si>
  <si>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</si>
  <si>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</si>
  <si>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</si>
  <si>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</si>
  <si>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</si>
  <si>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</si>
  <si>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</si>
  <si>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</si>
  <si>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</si>
  <si>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</si>
  <si>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</si>
  <si>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</si>
  <si>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</si>
  <si>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</si>
  <si>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</si>
  <si>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</si>
  <si>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</si>
  <si>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</si>
  <si>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</si>
  <si>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</si>
  <si>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</si>
  <si>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</si>
  <si>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</si>
  <si>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</si>
  <si>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</si>
  <si>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</si>
  <si>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</si>
  <si>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</si>
  <si>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</si>
  <si>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</si>
  <si>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</si>
  <si>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</si>
  <si>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</si>
  <si>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</si>
  <si>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</si>
  <si>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</si>
  <si>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</si>
  <si>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</si>
  <si>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</si>
  <si>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</si>
  <si>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</si>
  <si>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</si>
  <si>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</si>
  <si>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</si>
  <si>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</si>
  <si>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</si>
  <si>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</si>
  <si>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</si>
  <si>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</si>
  <si>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</si>
  <si>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</si>
  <si>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</si>
  <si>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</si>
  <si>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</si>
  <si>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</si>
  <si>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</si>
  <si>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</si>
  <si>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</si>
  <si>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</si>
  <si>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</si>
  <si>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</si>
  <si>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</si>
  <si>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</si>
  <si>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</si>
  <si>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</si>
  <si>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</si>
  <si>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</si>
  <si>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</si>
  <si>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</si>
  <si>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</si>
  <si>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</si>
  <si>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</si>
  <si>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</si>
  <si>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</si>
  <si>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</si>
  <si>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</si>
  <si>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</si>
  <si>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</si>
  <si>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</si>
  <si>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</si>
  <si>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</si>
  <si>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</si>
  <si>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</si>
  <si>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</si>
  <si>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</si>
  <si>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</si>
  <si>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</si>
  <si>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</si>
  <si>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</si>
  <si>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</si>
  <si>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</si>
  <si>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</si>
  <si>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</si>
  <si>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</si>
  <si>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</si>
  <si>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</si>
  <si>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</si>
  <si>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</si>
  <si>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</si>
  <si>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</si>
  <si>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</si>
  <si>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</si>
  <si>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</si>
  <si>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</si>
  <si>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</si>
  <si>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</si>
  <si>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</si>
  <si>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</si>
  <si>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</si>
  <si>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</si>
  <si>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</si>
  <si>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</si>
  <si>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</si>
  <si>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</si>
  <si>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</si>
  <si>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</si>
  <si>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</si>
  <si>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</si>
  <si>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</si>
  <si>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</si>
  <si>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</si>
  <si>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</si>
  <si>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</si>
  <si>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</si>
  <si>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</si>
  <si>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</si>
  <si>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</si>
  <si>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</si>
  <si>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</si>
  <si>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</si>
  <si>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</si>
  <si>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</si>
  <si>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</si>
  <si>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</si>
  <si>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</si>
  <si>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</si>
  <si>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</si>
  <si>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</si>
  <si>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</si>
  <si>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</si>
  <si>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</si>
  <si>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</si>
  <si>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</si>
  <si>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</si>
  <si>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</si>
  <si>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</si>
  <si>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</si>
  <si>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</si>
  <si>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</si>
  <si>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</si>
  <si>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</si>
  <si>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</si>
  <si>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</si>
  <si>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</si>
  <si>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</si>
  <si>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</si>
  <si>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</si>
  <si>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</si>
  <si>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</si>
  <si>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</si>
  <si>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</si>
  <si>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</si>
  <si>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</si>
  <si>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</si>
  <si>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</si>
  <si>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</si>
  <si>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</si>
  <si>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</si>
  <si>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</si>
  <si>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</si>
  <si>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</si>
  <si>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</si>
  <si>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</si>
  <si>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</si>
  <si>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</si>
  <si>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</si>
  <si>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</si>
  <si>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</si>
  <si>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</si>
  <si>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</si>
  <si>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</si>
  <si>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</si>
  <si>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</si>
  <si>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</si>
  <si>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</si>
  <si>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</si>
  <si>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</si>
  <si>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</si>
  <si>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</si>
  <si>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</si>
  <si>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</si>
  <si>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</si>
  <si>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</si>
  <si>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</si>
  <si>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</si>
  <si>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</si>
  <si>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</si>
  <si>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</si>
  <si>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</si>
  <si>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</si>
  <si>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</si>
  <si>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</si>
  <si>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</si>
  <si>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</si>
  <si>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</si>
  <si>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</si>
  <si>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</si>
  <si>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</si>
  <si>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</si>
  <si>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</si>
  <si>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</si>
  <si>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</si>
  <si>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</si>
  <si>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</si>
  <si>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</si>
  <si>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</si>
  <si>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</si>
  <si>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</si>
  <si>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</si>
  <si>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</si>
  <si>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</si>
  <si>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</si>
  <si>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</si>
  <si>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</si>
  <si>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</si>
  <si>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</si>
  <si>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</si>
  <si>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</si>
  <si>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</si>
  <si>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</si>
  <si>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</si>
  <si>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</si>
  <si>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</si>
  <si>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</si>
  <si>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</si>
  <si>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</si>
  <si>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</si>
  <si>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</si>
  <si>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</si>
  <si>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</si>
  <si>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</si>
  <si>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</si>
  <si>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</si>
  <si>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</si>
  <si>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</si>
  <si>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</si>
  <si>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</si>
  <si>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</si>
  <si>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</si>
  <si>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</si>
  <si>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</si>
  <si>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</si>
  <si>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</si>
  <si>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</si>
  <si>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</si>
  <si>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</si>
  <si>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</si>
  <si>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</si>
  <si>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</si>
  <si>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</si>
  <si>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</si>
  <si>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</si>
  <si>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</si>
  <si>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</si>
  <si>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</si>
  <si>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</si>
  <si>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</si>
  <si>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</si>
  <si>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</si>
  <si>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</si>
  <si>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</si>
  <si>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</si>
  <si>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</si>
  <si>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</si>
  <si>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</si>
  <si>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</si>
  <si>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</si>
  <si>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</si>
  <si>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</si>
  <si>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</si>
  <si>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</si>
  <si>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</si>
  <si>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</si>
  <si>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</si>
  <si>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</si>
  <si>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</si>
  <si>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</si>
  <si>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</si>
  <si>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</si>
  <si>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</si>
  <si>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</si>
  <si>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</si>
  <si>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</si>
  <si>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</si>
  <si>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</si>
  <si>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</si>
  <si>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</si>
  <si>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</si>
  <si>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</si>
  <si>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</si>
  <si>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</si>
  <si>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</si>
  <si>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</si>
  <si>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</si>
  <si>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</si>
  <si>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</si>
  <si>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</si>
  <si>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</si>
  <si>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</si>
  <si>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</si>
  <si>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</si>
  <si>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</si>
  <si>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</si>
  <si>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</si>
  <si>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</si>
  <si>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</si>
  <si>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</si>
  <si>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</si>
  <si>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</si>
  <si>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</si>
  <si>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</si>
  <si>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</si>
  <si>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</si>
  <si>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</si>
  <si>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</si>
  <si>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</si>
  <si>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</si>
  <si>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</si>
  <si>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</si>
  <si>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</si>
  <si>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</si>
  <si>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</si>
  <si>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</si>
  <si>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</si>
  <si>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</si>
  <si>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</si>
  <si>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</si>
  <si>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</si>
  <si>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</si>
  <si>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</si>
  <si>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</si>
  <si>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</si>
  <si>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</si>
  <si>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</si>
  <si>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</si>
  <si>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</si>
  <si>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</si>
  <si>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</si>
  <si>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</si>
  <si>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</si>
  <si>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</si>
  <si>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</si>
  <si>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</si>
  <si>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</si>
  <si>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</si>
  <si>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</si>
  <si>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</si>
  <si>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</si>
  <si>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</si>
  <si>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</si>
  <si>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</si>
  <si>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</si>
  <si>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</si>
  <si>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</si>
  <si>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</si>
  <si>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</si>
  <si>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</si>
  <si>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</si>
  <si>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</si>
  <si>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</si>
  <si>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</si>
  <si>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</si>
  <si>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</si>
  <si>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</si>
  <si>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</si>
  <si>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</si>
  <si>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</si>
  <si>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</si>
  <si>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</si>
  <si>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</si>
  <si>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</si>
  <si>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</si>
  <si>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</si>
  <si>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</si>
  <si>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</si>
  <si>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</si>
  <si>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</si>
  <si>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</si>
  <si>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</si>
  <si>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</si>
  <si>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</si>
  <si>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</si>
  <si>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</si>
  <si>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</si>
  <si>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</si>
  <si>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</si>
  <si>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</si>
  <si>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</si>
  <si>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</si>
  <si>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</si>
  <si>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</si>
  <si>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</si>
  <si>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</si>
  <si>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</si>
  <si>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</si>
  <si>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</si>
  <si>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</si>
  <si>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</si>
  <si>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</si>
  <si>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</si>
  <si>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</si>
  <si>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</si>
  <si>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</si>
  <si>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</si>
  <si>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</si>
  <si>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</si>
  <si>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</si>
  <si>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</si>
  <si>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</si>
  <si>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</si>
  <si>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</si>
  <si>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</si>
  <si>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</si>
  <si>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</si>
  <si>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</si>
  <si>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</si>
  <si>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</si>
  <si>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</si>
  <si>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</si>
  <si>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</si>
  <si>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</si>
  <si>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</si>
  <si>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</si>
  <si>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</si>
  <si>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</si>
  <si>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</si>
  <si>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</si>
  <si>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</si>
  <si>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</si>
  <si>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</si>
  <si>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</si>
  <si>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</si>
  <si>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</si>
  <si>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</si>
  <si>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</si>
  <si>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</si>
  <si>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</si>
  <si>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</si>
  <si>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</si>
  <si>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</si>
  <si>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</si>
  <si>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</si>
  <si>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</si>
  <si>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</si>
  <si>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</si>
  <si>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</si>
  <si>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</si>
  <si>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</si>
  <si>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</si>
  <si>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</si>
  <si>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</si>
  <si>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</si>
  <si>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</si>
  <si>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</si>
  <si>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</si>
  <si>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</si>
  <si>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</si>
  <si>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</si>
  <si>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</si>
  <si>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</si>
  <si>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</si>
  <si>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</si>
  <si>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</si>
  <si>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</si>
  <si>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</si>
  <si>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</si>
  <si>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</si>
  <si>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</si>
  <si>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</si>
  <si>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</si>
  <si>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</si>
  <si>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</si>
  <si>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</si>
  <si>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</si>
  <si>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</si>
  <si>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</si>
  <si>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</si>
  <si>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</si>
  <si>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</si>
  <si>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</si>
  <si>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</si>
  <si>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</si>
  <si>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</si>
  <si>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</si>
  <si>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</si>
  <si>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</si>
  <si>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</si>
  <si>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</si>
  <si>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</si>
  <si>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</si>
  <si>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</si>
  <si>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</si>
  <si>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</si>
  <si>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</si>
  <si>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</si>
  <si>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</si>
  <si>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</si>
  <si>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</si>
  <si>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</si>
  <si>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</si>
  <si>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</si>
  <si>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</si>
  <si>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</si>
  <si>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</si>
  <si>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</si>
  <si>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</si>
  <si>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</si>
  <si>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</si>
  <si>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</si>
  <si>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</si>
  <si>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</si>
  <si>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</si>
  <si>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</si>
  <si>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</si>
  <si>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</si>
  <si>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</si>
  <si>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</si>
  <si>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</si>
  <si>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</si>
  <si>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</si>
  <si>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</si>
  <si>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</si>
  <si>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</si>
  <si>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</si>
  <si>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</si>
  <si>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</si>
  <si>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</si>
  <si>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</si>
  <si>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</si>
  <si>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</si>
  <si>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</si>
  <si>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</si>
  <si>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</si>
  <si>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</si>
  <si>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</si>
  <si>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</si>
  <si>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</si>
  <si>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</si>
  <si>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</si>
  <si>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</si>
  <si>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</si>
  <si>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</si>
  <si>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</si>
  <si>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</si>
  <si>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</si>
  <si>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</si>
  <si>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</si>
  <si>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</si>
  <si>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</si>
  <si>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</si>
  <si>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</si>
  <si>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</si>
  <si>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</si>
  <si>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</si>
  <si>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</si>
  <si>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</si>
  <si>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</si>
  <si>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</si>
  <si>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</si>
  <si>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</si>
  <si>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</si>
  <si>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</si>
  <si>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</si>
  <si>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</si>
  <si>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</si>
  <si>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</si>
  <si>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</si>
  <si>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</si>
  <si>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</si>
  <si>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</si>
  <si>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</si>
  <si>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</si>
  <si>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</si>
  <si>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</si>
  <si>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</si>
  <si>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</si>
  <si>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</si>
  <si>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</si>
  <si>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</si>
  <si>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</si>
  <si>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</si>
  <si>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</si>
  <si>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</si>
  <si>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</si>
  <si>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</si>
  <si>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</si>
  <si>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</si>
  <si>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</si>
  <si>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</si>
  <si>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</si>
  <si>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</si>
  <si>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</si>
  <si>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</si>
  <si>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</si>
  <si>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</si>
  <si>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</si>
  <si>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</si>
  <si>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</si>
  <si>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</si>
  <si>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</si>
  <si>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</si>
  <si>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</si>
  <si>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</si>
  <si>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</si>
  <si>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</si>
  <si>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</si>
  <si>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</si>
  <si>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</si>
  <si>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</si>
  <si>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</si>
  <si>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</si>
  <si>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</si>
  <si>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</si>
  <si>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</si>
  <si>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</si>
  <si>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</si>
  <si>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</si>
  <si>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</si>
  <si>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</si>
  <si>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</si>
  <si>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</si>
  <si>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</si>
  <si>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</si>
  <si>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</si>
  <si>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</si>
  <si>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</si>
  <si>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</si>
  <si>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</si>
  <si>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</si>
  <si>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</si>
  <si>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</si>
  <si>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</si>
  <si>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</si>
  <si>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</si>
  <si>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</si>
  <si>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</si>
  <si>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</si>
  <si>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</si>
  <si>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</si>
  <si>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</si>
  <si>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</si>
  <si>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</si>
  <si>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</si>
  <si>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</si>
  <si>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</si>
  <si>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</si>
  <si>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</si>
  <si>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</si>
  <si>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</si>
  <si>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</si>
  <si>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</si>
  <si>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</si>
  <si>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</si>
  <si>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</si>
  <si>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</si>
  <si>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</si>
  <si>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</si>
  <si>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</si>
  <si>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</si>
  <si>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</si>
  <si>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</si>
  <si>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</si>
  <si>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</si>
  <si>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</si>
  <si>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</si>
  <si>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</si>
  <si>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</si>
  <si>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</si>
  <si>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</si>
  <si>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</si>
  <si>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</si>
  <si>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</si>
  <si>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</si>
  <si>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</si>
  <si>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</si>
  <si>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</si>
  <si>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</si>
  <si>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</si>
  <si>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</si>
  <si>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</si>
  <si>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</si>
  <si>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</si>
  <si>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</si>
  <si>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</si>
  <si>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</si>
  <si>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</si>
  <si>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</si>
  <si>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</si>
  <si>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</si>
  <si>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</si>
  <si>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</si>
  <si>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</si>
  <si>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</si>
  <si>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</si>
  <si>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</si>
  <si>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</si>
  <si>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</si>
  <si>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</si>
  <si>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</si>
  <si>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</si>
  <si>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</si>
  <si>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</si>
  <si>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</si>
  <si>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</si>
  <si>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</si>
  <si>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</si>
  <si>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</si>
  <si>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</si>
  <si>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</si>
  <si>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</si>
  <si>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</si>
  <si>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</si>
  <si>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</si>
  <si>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</si>
  <si>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</si>
  <si>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</si>
  <si>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</si>
  <si>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</si>
  <si>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</si>
  <si>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</si>
  <si>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</si>
  <si>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</si>
  <si>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</si>
  <si>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</si>
  <si>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</si>
  <si>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</si>
  <si>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</si>
  <si>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</si>
  <si>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</si>
  <si>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</si>
  <si>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</si>
  <si>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</si>
  <si>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</si>
  <si>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</si>
  <si>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</si>
  <si>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</si>
  <si>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</si>
  <si>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</si>
  <si>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</si>
  <si>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</si>
  <si>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</si>
  <si>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</si>
  <si>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</si>
  <si>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</si>
  <si>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</si>
  <si>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</si>
  <si>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</si>
  <si>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</si>
  <si>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</si>
  <si>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</si>
  <si>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</si>
  <si>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</si>
  <si>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</si>
  <si>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</si>
  <si>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</si>
  <si>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</si>
  <si>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</si>
  <si>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</si>
  <si>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</si>
  <si>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</si>
  <si>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</si>
  <si>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</si>
  <si>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</si>
  <si>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</si>
  <si>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</si>
  <si>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</si>
  <si>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</si>
  <si>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</si>
  <si>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</si>
  <si>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</si>
  <si>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</si>
  <si>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</si>
  <si>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</si>
  <si>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</si>
  <si>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</si>
  <si>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</si>
  <si>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</si>
  <si>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</si>
  <si>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</si>
  <si>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</si>
  <si>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</si>
  <si>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</si>
  <si>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</si>
  <si>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</si>
  <si>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</si>
  <si>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</si>
  <si>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</si>
  <si>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</si>
  <si>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</si>
  <si>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</si>
  <si>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</si>
  <si>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</si>
  <si>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</si>
  <si>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</si>
  <si>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</si>
  <si>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</si>
  <si>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</si>
  <si>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</si>
  <si>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</si>
  <si>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</si>
  <si>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</si>
  <si>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</si>
  <si>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</si>
  <si>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</si>
  <si>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</si>
  <si>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</si>
  <si>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</si>
  <si>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</si>
  <si>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</si>
  <si>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</si>
  <si>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</si>
  <si>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</si>
  <si>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</si>
  <si>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</si>
  <si>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</si>
  <si>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</si>
  <si>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</si>
  <si>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</si>
  <si>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</si>
  <si>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</si>
  <si>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</si>
  <si>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</si>
  <si>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</si>
  <si>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</si>
  <si>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</si>
  <si>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</si>
  <si>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</si>
  <si>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</si>
  <si>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</si>
  <si>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</si>
  <si>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</si>
  <si>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</si>
  <si>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</si>
  <si>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</si>
  <si>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</si>
  <si>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</si>
  <si>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</si>
  <si>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</si>
  <si>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</si>
  <si>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</si>
  <si>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</si>
  <si>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</si>
  <si>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</si>
  <si>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</si>
  <si>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</si>
  <si>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</si>
  <si>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</si>
  <si>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</si>
  <si>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</si>
  <si>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</si>
  <si>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</si>
  <si>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</si>
  <si>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</si>
  <si>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</si>
  <si>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</si>
  <si>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</si>
  <si>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</si>
  <si>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</si>
  <si>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</si>
  <si>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</si>
  <si>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</si>
  <si>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</si>
  <si>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</si>
  <si>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</si>
  <si>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</si>
  <si>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</si>
  <si>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</si>
  <si>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</si>
  <si>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</si>
  <si>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</si>
  <si>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</si>
  <si>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</si>
  <si>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</si>
  <si>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</si>
  <si>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</si>
  <si>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</si>
  <si>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</si>
  <si>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</si>
  <si>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</si>
  <si>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</si>
  <si>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</si>
  <si>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</si>
  <si>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</si>
  <si>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</si>
  <si>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</si>
  <si>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</si>
  <si>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</si>
  <si>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</si>
  <si>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</si>
  <si>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</si>
  <si>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</si>
  <si>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</si>
  <si>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</si>
  <si>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</si>
  <si>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</si>
  <si>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</si>
  <si>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</si>
  <si>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</si>
  <si>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</si>
  <si>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</si>
  <si>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</si>
  <si>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</si>
  <si>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</si>
  <si>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</si>
  <si>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</si>
  <si>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</si>
  <si>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</si>
  <si>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</si>
  <si>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</si>
  <si>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</si>
  <si>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</si>
  <si>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</si>
  <si>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</si>
  <si>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</si>
  <si>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</si>
  <si>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</si>
  <si>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</si>
  <si>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</si>
  <si>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</si>
  <si>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</si>
  <si>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</si>
  <si>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</si>
  <si>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</si>
  <si>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</si>
  <si>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</si>
  <si>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</si>
  <si>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</si>
  <si>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</si>
  <si>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</si>
  <si>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</si>
  <si>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</si>
  <si>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</si>
  <si>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</si>
  <si>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</si>
  <si>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</si>
  <si>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</si>
  <si>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</si>
  <si>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</si>
  <si>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</si>
  <si>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</si>
  <si>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</si>
  <si>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</si>
  <si>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</si>
  <si>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</si>
  <si>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</si>
  <si>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</si>
  <si>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</si>
  <si>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</si>
  <si>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</si>
  <si>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</si>
  <si>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</si>
  <si>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</si>
  <si>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</si>
  <si>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</si>
  <si>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</si>
  <si>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</si>
  <si>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</si>
  <si>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</si>
  <si>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</si>
  <si>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</si>
  <si>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</si>
  <si>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</si>
  <si>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</si>
  <si>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</si>
  <si>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</si>
  <si>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</si>
  <si>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</si>
  <si>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</si>
  <si>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</si>
  <si>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</si>
  <si>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</si>
  <si>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</si>
  <si>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</si>
  <si>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</si>
  <si>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</si>
  <si>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</si>
  <si>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</si>
  <si>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</si>
  <si>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</si>
  <si>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</si>
  <si>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</si>
  <si>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</si>
  <si>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</si>
  <si>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</si>
  <si>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</si>
  <si>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</si>
  <si>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</si>
  <si>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</si>
  <si>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</si>
  <si>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</si>
  <si>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</si>
  <si>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</si>
  <si>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</si>
  <si>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</si>
  <si>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</si>
  <si>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</si>
  <si>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</si>
  <si>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</si>
  <si>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</si>
  <si>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</si>
  <si>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</si>
  <si>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</si>
  <si>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</si>
  <si>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</si>
  <si>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</si>
  <si>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</si>
  <si>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</si>
  <si>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</si>
  <si>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</si>
  <si>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</si>
  <si>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</si>
  <si>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</si>
  <si>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</si>
  <si>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</si>
  <si>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</si>
  <si>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</si>
  <si>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</si>
  <si>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</si>
  <si>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</si>
  <si>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</si>
  <si>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</si>
  <si>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</si>
  <si>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</si>
  <si>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</si>
  <si>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</si>
  <si>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</si>
  <si>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</si>
  <si>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</si>
  <si>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</si>
  <si>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</si>
  <si>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</si>
  <si>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</si>
  <si>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</si>
  <si>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</si>
  <si>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</si>
  <si>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</si>
  <si>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</si>
  <si>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</si>
  <si>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</si>
  <si>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</si>
  <si>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</si>
  <si>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</si>
  <si>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</si>
  <si>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</si>
  <si>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</si>
  <si>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</si>
  <si>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</si>
  <si>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</si>
  <si>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</si>
  <si>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</si>
  <si>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</si>
  <si>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</si>
  <si>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</si>
  <si>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</si>
  <si>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</si>
  <si>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</si>
  <si>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</si>
  <si>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</si>
  <si>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</si>
  <si>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</si>
  <si>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</si>
  <si>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</si>
  <si>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</si>
  <si>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</si>
  <si>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</si>
  <si>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</si>
  <si>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</si>
  <si>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</si>
  <si>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</si>
  <si>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</si>
  <si>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</si>
  <si>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</si>
  <si>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</si>
  <si>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</si>
  <si>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</si>
  <si>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</si>
  <si>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</si>
  <si>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</si>
  <si>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</si>
  <si>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</si>
  <si>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</si>
  <si>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</si>
  <si>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</si>
  <si>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</si>
  <si>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</si>
  <si>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</si>
  <si>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</si>
  <si>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</si>
  <si>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</si>
  <si>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</si>
  <si>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</si>
  <si>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</si>
  <si>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</si>
  <si>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</si>
  <si>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</si>
  <si>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</si>
  <si>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</si>
  <si>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</si>
  <si>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</si>
  <si>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</si>
  <si>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</si>
  <si>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</si>
  <si>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</si>
  <si>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</si>
  <si>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</si>
  <si>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</si>
  <si>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</si>
  <si>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</si>
  <si>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</si>
  <si>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</si>
  <si>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</si>
  <si>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</si>
  <si>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</si>
  <si>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</si>
  <si>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</si>
  <si>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</si>
  <si>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</si>
  <si>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</si>
  <si>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</si>
  <si>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</si>
  <si>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</si>
  <si>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</si>
  <si>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</si>
  <si>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</si>
  <si>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</si>
  <si>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</si>
  <si>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</si>
  <si>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</si>
  <si>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</si>
  <si>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</si>
  <si>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</si>
  <si>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</si>
  <si>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</si>
  <si>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</si>
  <si>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</si>
  <si>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</si>
  <si>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</si>
  <si>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</si>
  <si>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</si>
  <si>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</si>
  <si>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</si>
  <si>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</si>
  <si>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</si>
  <si>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</si>
  <si>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</si>
  <si>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</si>
  <si>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</si>
  <si>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</si>
  <si>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</si>
  <si>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</si>
  <si>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</si>
  <si>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</si>
  <si>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</si>
  <si>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</si>
  <si>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</si>
  <si>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</si>
  <si>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</si>
  <si>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</si>
  <si>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</si>
  <si>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</si>
  <si>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</si>
  <si>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</si>
  <si>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</si>
  <si>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</si>
  <si>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</si>
  <si>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</si>
  <si>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</si>
  <si>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</si>
  <si>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</si>
  <si>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</si>
  <si>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</si>
  <si>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</si>
  <si>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</si>
  <si>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</si>
  <si>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</si>
  <si>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</si>
  <si>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</si>
  <si>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</si>
  <si>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</si>
  <si>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</si>
  <si>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</si>
  <si>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</si>
  <si>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</si>
  <si>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</si>
  <si>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</si>
  <si>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</si>
  <si>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</si>
  <si>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</si>
  <si>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</si>
  <si>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</si>
  <si>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</si>
  <si>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</si>
  <si>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</si>
  <si>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</si>
  <si>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</si>
  <si>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</si>
  <si>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</si>
  <si>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</si>
  <si>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</si>
  <si>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</si>
  <si>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</si>
  <si>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</si>
  <si>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</si>
  <si>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</si>
  <si>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</si>
  <si>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</si>
  <si>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</si>
  <si>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</si>
  <si>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</si>
  <si>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</si>
  <si>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</si>
  <si>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</si>
  <si>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</si>
  <si>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</si>
  <si>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</si>
  <si>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</si>
  <si>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</si>
  <si>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</si>
  <si>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</si>
  <si>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</si>
  <si>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</si>
  <si>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</si>
  <si>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</si>
  <si>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</si>
  <si>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</si>
  <si>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</si>
  <si>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</si>
  <si>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</si>
  <si>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</si>
  <si>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</si>
  <si>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</si>
  <si>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</si>
  <si>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</si>
  <si>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</si>
  <si>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</si>
  <si>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</si>
  <si>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</si>
  <si>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</si>
  <si>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</si>
  <si>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</si>
  <si>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</si>
  <si>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</si>
  <si>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</si>
  <si>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</si>
  <si>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</si>
  <si>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</si>
  <si>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</si>
  <si>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</si>
  <si>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</si>
  <si>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</si>
  <si>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</si>
  <si>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</si>
  <si>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</si>
  <si>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</si>
  <si>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</si>
  <si>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</si>
  <si>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</si>
  <si>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</si>
  <si>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</si>
  <si>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</si>
  <si>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</si>
  <si>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</si>
  <si>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</si>
  <si>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</si>
  <si>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</si>
  <si>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</si>
  <si>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</si>
  <si>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</si>
  <si>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</si>
  <si>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</si>
  <si>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</si>
  <si>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</si>
  <si>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</si>
  <si>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</si>
  <si>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</si>
  <si>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</si>
  <si>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</si>
  <si>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</si>
  <si>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</si>
  <si>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</si>
  <si>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</si>
  <si>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</si>
  <si>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</si>
  <si>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</si>
  <si>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</si>
  <si>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</si>
  <si>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</si>
  <si>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</si>
  <si>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</si>
  <si>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</si>
  <si>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</si>
  <si>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</si>
  <si>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</si>
  <si>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</si>
  <si>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</si>
  <si>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</si>
  <si>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</si>
  <si>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</si>
  <si>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</si>
  <si>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</si>
  <si>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</si>
  <si>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</si>
  <si>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</si>
  <si>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</si>
  <si>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</si>
  <si>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</si>
  <si>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</si>
  <si>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</si>
  <si>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</si>
  <si>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</si>
  <si>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</si>
  <si>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</si>
  <si>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</si>
  <si>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</si>
  <si>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</si>
  <si>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</si>
  <si>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</si>
  <si>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</si>
  <si>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</si>
  <si>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</si>
  <si>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</si>
  <si>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</si>
  <si>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</si>
  <si>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</si>
  <si>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</si>
  <si>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</si>
  <si>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</si>
  <si>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</si>
  <si>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</si>
  <si>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</si>
  <si>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</si>
  <si>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</si>
  <si>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</si>
  <si>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</si>
  <si>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</si>
  <si>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</si>
  <si>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</si>
  <si>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</si>
  <si>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</si>
  <si>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</si>
  <si>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</si>
  <si>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</si>
  <si>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</si>
  <si>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</si>
  <si>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</si>
  <si>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</si>
  <si>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</si>
  <si>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</si>
  <si>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</si>
  <si>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</si>
  <si>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</si>
  <si>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</si>
  <si>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</si>
  <si>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</si>
  <si>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</si>
  <si>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</si>
  <si>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</si>
  <si>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</si>
  <si>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</si>
  <si>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</si>
  <si>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</si>
  <si>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</si>
  <si>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</si>
  <si>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</si>
  <si>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</si>
  <si>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</si>
  <si>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</si>
  <si>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</si>
  <si>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</si>
  <si>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</si>
  <si>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</si>
  <si>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</si>
  <si>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</si>
  <si>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</si>
  <si>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</si>
  <si>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</si>
  <si>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</si>
  <si>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</si>
  <si>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</si>
  <si>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</si>
  <si>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</si>
  <si>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</si>
  <si>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</si>
  <si>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</si>
  <si>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</si>
  <si>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</si>
  <si>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</si>
  <si>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</si>
  <si>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</si>
  <si>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</si>
  <si>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</si>
  <si>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</si>
  <si>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</si>
  <si>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</si>
  <si>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</si>
  <si>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</si>
  <si>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</si>
  <si>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</si>
  <si>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</si>
  <si>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</si>
  <si>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</si>
  <si>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</si>
  <si>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</si>
  <si>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</si>
  <si>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</si>
  <si>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</si>
  <si>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</si>
  <si>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</si>
  <si>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</si>
  <si>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</si>
  <si>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</si>
  <si>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</si>
  <si>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</si>
  <si>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</si>
  <si>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</si>
  <si>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</si>
  <si>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</si>
  <si>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</si>
  <si>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</si>
  <si>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</si>
  <si>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</si>
  <si>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</si>
  <si>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</si>
  <si>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</si>
  <si>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</si>
  <si>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</si>
  <si>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</si>
  <si>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</si>
  <si>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</si>
  <si>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</si>
  <si>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</si>
  <si>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</si>
  <si>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</si>
  <si>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</si>
  <si>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</si>
  <si>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</si>
  <si>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</si>
  <si>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</si>
  <si>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</si>
  <si>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</si>
  <si>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</si>
  <si>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</si>
  <si>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</si>
  <si>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</si>
  <si>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</si>
  <si>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</si>
  <si>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</si>
  <si>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</si>
  <si>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</si>
  <si>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</si>
  <si>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</si>
  <si>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</si>
  <si>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</si>
  <si>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</si>
  <si>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</si>
  <si>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</si>
  <si>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</si>
  <si>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</si>
  <si>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</si>
  <si>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</si>
  <si>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</si>
  <si>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</si>
  <si>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</si>
  <si>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</si>
  <si>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</si>
  <si>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</si>
  <si>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</si>
  <si>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</si>
  <si>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</si>
  <si>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</si>
  <si>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</si>
  <si>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</si>
  <si>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</si>
  <si>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</si>
  <si>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</si>
  <si>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</si>
  <si>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</si>
  <si>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</si>
  <si>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</si>
  <si>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</si>
  <si>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</si>
  <si>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</si>
  <si>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</si>
  <si>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</si>
  <si>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</si>
  <si>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</si>
  <si>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</si>
  <si>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</si>
  <si>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</si>
  <si>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</si>
  <si>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</si>
  <si>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</si>
  <si>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</si>
  <si>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</si>
  <si>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</si>
  <si>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</si>
  <si>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</si>
  <si>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</si>
  <si>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</si>
  <si>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</si>
  <si>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</si>
  <si>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</si>
  <si>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</si>
  <si>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</si>
  <si>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</si>
  <si>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</si>
  <si>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</si>
  <si>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</si>
  <si>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</si>
  <si>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</si>
  <si>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</si>
  <si>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</si>
  <si>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</si>
  <si>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</si>
  <si>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</si>
  <si>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</si>
  <si>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</si>
  <si>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</si>
  <si>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</si>
  <si>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</si>
  <si>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</si>
  <si>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</si>
  <si>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</si>
  <si>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</si>
  <si>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</si>
  <si>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</si>
  <si>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</si>
  <si>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</si>
  <si>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</si>
  <si>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</si>
  <si>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</si>
  <si>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</si>
  <si>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</si>
  <si>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</si>
  <si>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</si>
  <si>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</si>
  <si>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</si>
  <si>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</si>
  <si>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</si>
  <si>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</si>
  <si>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</si>
  <si>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</si>
  <si>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</si>
  <si>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</si>
  <si>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</si>
  <si>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</si>
  <si>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</si>
  <si>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</si>
  <si>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</si>
  <si>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</si>
  <si>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</si>
  <si>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</si>
  <si>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</si>
  <si>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</si>
  <si>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</si>
  <si>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</si>
  <si>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</si>
  <si>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</si>
  <si>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</si>
  <si>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</si>
  <si>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</si>
  <si>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</si>
  <si>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</si>
  <si>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</si>
  <si>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</si>
  <si>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</si>
  <si>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</si>
  <si>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</si>
  <si>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</si>
  <si>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</si>
  <si>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</si>
  <si>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</si>
  <si>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</si>
  <si>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</si>
  <si>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</si>
  <si>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</si>
  <si>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</si>
  <si>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</si>
  <si>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</si>
  <si>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</si>
  <si>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</si>
  <si>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</si>
  <si>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</si>
  <si>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</si>
  <si>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</si>
  <si>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</si>
  <si>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</si>
  <si>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</si>
  <si>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</si>
  <si>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</si>
  <si>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</si>
  <si>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</si>
  <si>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</si>
  <si>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</si>
  <si>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</si>
  <si>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</si>
  <si>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</si>
  <si>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</si>
  <si>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</si>
  <si>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</si>
  <si>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</si>
  <si>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</si>
  <si>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</si>
  <si>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</si>
  <si>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</si>
  <si>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</si>
  <si>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</si>
  <si>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</si>
  <si>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</si>
  <si>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</si>
  <si>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</si>
  <si>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</si>
  <si>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</si>
  <si>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</si>
  <si>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</si>
  <si>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</si>
  <si>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</si>
  <si>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</si>
  <si>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</si>
  <si>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</si>
  <si>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</si>
  <si>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</si>
  <si>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</si>
  <si>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</si>
  <si>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</si>
  <si>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</si>
  <si>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</si>
  <si>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</si>
  <si>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</si>
  <si>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</si>
  <si>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</si>
  <si>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</si>
  <si>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</si>
  <si>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</si>
  <si>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</si>
  <si>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</si>
  <si>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</si>
  <si>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</si>
  <si>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</si>
  <si>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</si>
  <si>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</si>
  <si>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</si>
  <si>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</si>
  <si>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</si>
  <si>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</si>
  <si>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</si>
  <si>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</si>
  <si>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</si>
  <si>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</si>
  <si>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</si>
  <si>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</si>
  <si>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</si>
  <si>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</si>
  <si>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</si>
  <si>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</si>
  <si>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</si>
  <si>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</si>
  <si>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</si>
  <si>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</si>
  <si>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</si>
  <si>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</si>
  <si>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</si>
  <si>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</si>
  <si>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</si>
  <si>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</si>
  <si>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</si>
  <si>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</si>
  <si>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</si>
  <si>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</si>
  <si>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</si>
  <si>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</si>
  <si>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</si>
  <si>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</si>
  <si>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</si>
  <si>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</si>
  <si>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</si>
  <si>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</si>
  <si>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</si>
  <si>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</si>
  <si>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</si>
  <si>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</si>
  <si>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</si>
  <si>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</si>
  <si>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</si>
  <si>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</si>
  <si>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</si>
  <si>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</si>
  <si>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</si>
  <si>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</si>
  <si>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</si>
  <si>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</si>
  <si>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</si>
  <si>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</si>
  <si>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</si>
  <si>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</si>
  <si>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</si>
  <si>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</si>
  <si>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</si>
  <si>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</si>
  <si>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</si>
  <si>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</si>
  <si>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</si>
  <si>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</si>
  <si>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</si>
  <si>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</si>
  <si>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</si>
  <si>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</si>
  <si>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</si>
  <si>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</si>
  <si>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</si>
  <si>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</si>
  <si>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</si>
  <si>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</si>
  <si>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</si>
  <si>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</si>
  <si>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</si>
  <si>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</si>
  <si>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</si>
  <si>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</si>
  <si>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</si>
  <si>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</si>
  <si>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</si>
  <si>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</si>
  <si>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</si>
  <si>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</si>
  <si>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</si>
  <si>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</si>
  <si>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</si>
  <si>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</si>
  <si>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</si>
  <si>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</si>
  <si>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</si>
  <si>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</si>
  <si>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</si>
  <si>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</si>
  <si>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</si>
  <si>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</si>
  <si>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</si>
  <si>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</si>
  <si>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</si>
  <si>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</si>
  <si>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</si>
  <si>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</si>
  <si>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</si>
  <si>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</si>
  <si>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</si>
  <si>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</si>
  <si>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</si>
  <si>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</si>
  <si>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</si>
  <si>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</si>
  <si>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</si>
  <si>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</si>
  <si>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</si>
  <si>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</si>
  <si>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</si>
  <si>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</si>
  <si>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</si>
  <si>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</si>
  <si>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</si>
  <si>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</si>
  <si>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</si>
  <si>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</si>
  <si>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</si>
  <si>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</si>
  <si>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</si>
  <si>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</si>
  <si>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</si>
  <si>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</si>
  <si>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</si>
  <si>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</si>
  <si>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</si>
  <si>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</si>
  <si>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</si>
  <si>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</si>
  <si>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</si>
  <si>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</si>
  <si>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</si>
  <si>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</si>
  <si>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</si>
  <si>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</si>
  <si>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</si>
  <si>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</si>
  <si>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</si>
  <si>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</si>
  <si>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</si>
  <si>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</si>
  <si>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</si>
  <si>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</si>
  <si>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</si>
  <si>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</si>
  <si>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</si>
  <si>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</si>
  <si>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</si>
  <si>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</si>
  <si>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</si>
  <si>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</si>
  <si>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</si>
  <si>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</si>
  <si>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</si>
  <si>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</si>
  <si>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</si>
  <si>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</si>
  <si>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</si>
  <si>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</si>
  <si>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</si>
  <si>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</si>
  <si>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</si>
  <si>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</si>
  <si>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</si>
  <si>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</si>
  <si>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</si>
  <si>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</si>
  <si>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</si>
  <si>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</si>
  <si>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</si>
  <si>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</si>
  <si>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</si>
  <si>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</si>
  <si>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</si>
  <si>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</si>
  <si>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</si>
  <si>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</si>
  <si>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</si>
  <si>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</si>
  <si>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</si>
  <si>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</si>
  <si>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</si>
  <si>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</si>
  <si>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</si>
  <si>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</si>
  <si>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</si>
  <si>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</si>
  <si>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</si>
  <si>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</si>
  <si>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</si>
  <si>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</si>
  <si>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</si>
  <si>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</si>
  <si>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</si>
  <si>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</si>
  <si>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</si>
  <si>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</si>
  <si>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</si>
  <si>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</si>
  <si>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</si>
  <si>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</si>
  <si>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</si>
  <si>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</si>
  <si>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</si>
  <si>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</si>
  <si>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</si>
  <si>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</si>
  <si>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</si>
  <si>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</si>
  <si>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</si>
  <si>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</si>
  <si>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</si>
  <si>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</si>
  <si>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</si>
  <si>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</si>
  <si>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</si>
  <si>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</si>
  <si>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</si>
  <si>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</si>
  <si>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</si>
  <si>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</si>
  <si>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</si>
  <si>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</si>
  <si>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</si>
  <si>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</si>
  <si>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</si>
  <si>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</si>
  <si>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</si>
  <si>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</si>
  <si>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</si>
  <si>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</si>
  <si>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</si>
  <si>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</si>
  <si>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</si>
  <si>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</si>
  <si>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</si>
  <si>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</si>
  <si>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</si>
  <si>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</si>
  <si>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</si>
  <si>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</si>
  <si>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</si>
  <si>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</si>
  <si>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</si>
  <si>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</si>
  <si>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</si>
  <si>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</si>
  <si>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</si>
  <si>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</si>
  <si>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</si>
  <si>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</si>
  <si>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</si>
  <si>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</si>
  <si>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</si>
  <si>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</si>
  <si>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</si>
  <si>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</si>
  <si>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</si>
  <si>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</si>
  <si>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</si>
  <si>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</si>
  <si>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</si>
  <si>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</si>
  <si>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</si>
  <si>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</si>
  <si>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</si>
  <si>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</si>
  <si>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</si>
  <si>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</si>
  <si>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</si>
  <si>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</si>
  <si>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</si>
  <si>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</si>
  <si>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</si>
  <si>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</si>
  <si>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</si>
  <si>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</si>
  <si>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</si>
  <si>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</si>
  <si>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</si>
  <si>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</si>
  <si>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</si>
  <si>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</si>
  <si>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</si>
  <si>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</si>
  <si>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</si>
  <si>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</si>
  <si>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</si>
  <si>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</si>
  <si>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</si>
  <si>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</si>
  <si>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</si>
  <si>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</si>
  <si>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</si>
  <si>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</si>
  <si>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</si>
  <si>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</si>
  <si>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</si>
  <si>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</si>
  <si>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</si>
  <si>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</si>
  <si>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</si>
  <si>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</si>
  <si>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</si>
  <si>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</si>
  <si>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</si>
  <si>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</si>
  <si>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</si>
  <si>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</si>
  <si>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</si>
  <si>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</si>
  <si>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</si>
  <si>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</si>
  <si>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</si>
  <si>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</si>
  <si>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</si>
  <si>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</si>
  <si>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</si>
  <si>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</si>
  <si>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</si>
  <si>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</si>
  <si>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</si>
  <si>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</si>
  <si>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</si>
  <si>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</si>
  <si>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</si>
  <si>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</si>
  <si>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</si>
  <si>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</si>
  <si>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</si>
  <si>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</si>
  <si>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</si>
  <si>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</si>
  <si>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</si>
  <si>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</si>
  <si>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</si>
  <si>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</si>
  <si>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</si>
  <si>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</si>
  <si>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</si>
  <si>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</si>
  <si>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</si>
  <si>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</si>
  <si>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</si>
  <si>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</si>
  <si>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</si>
  <si>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</si>
  <si>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</si>
  <si>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</si>
  <si>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</si>
  <si>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</si>
  <si>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</si>
  <si>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</si>
  <si>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</si>
  <si>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</si>
  <si>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</si>
  <si>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</si>
  <si>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</si>
  <si>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</si>
  <si>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</si>
  <si>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</si>
  <si>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</si>
  <si>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</si>
  <si>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</si>
  <si>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</si>
  <si>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</si>
  <si>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</si>
  <si>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</si>
  <si>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</si>
  <si>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</si>
  <si>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</si>
  <si>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</si>
  <si>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</si>
  <si>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</si>
  <si>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</si>
  <si>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</si>
  <si>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</si>
  <si>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</si>
  <si>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</si>
  <si>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</si>
  <si>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</si>
  <si>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</si>
  <si>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</si>
  <si>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</si>
  <si>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</si>
  <si>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</si>
  <si>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</si>
  <si>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</si>
  <si>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</si>
  <si>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</si>
  <si>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</si>
  <si>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</si>
  <si>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</si>
  <si>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</si>
  <si>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</si>
  <si>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</si>
  <si>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</si>
  <si>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</si>
  <si>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</si>
  <si>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</si>
  <si>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</si>
  <si>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</si>
  <si>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</si>
  <si>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</si>
  <si>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</si>
  <si>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</si>
  <si>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</si>
  <si>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</si>
  <si>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</si>
  <si>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</si>
  <si>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</si>
  <si>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</si>
  <si>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</si>
  <si>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</si>
  <si>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</si>
  <si>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</si>
  <si>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</si>
  <si>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</si>
  <si>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</si>
  <si>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</si>
  <si>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</si>
  <si>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</si>
  <si>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</si>
  <si>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</si>
  <si>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</si>
  <si>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</si>
  <si>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</si>
  <si>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</si>
  <si>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</si>
  <si>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</si>
  <si>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</si>
  <si>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</si>
  <si>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</si>
  <si>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</si>
  <si>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</si>
  <si>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</si>
  <si>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</si>
  <si>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</si>
  <si>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</si>
  <si>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</si>
  <si>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</si>
  <si>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</si>
  <si>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</si>
  <si>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</si>
  <si>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</si>
  <si>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</si>
  <si>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</si>
  <si>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</si>
  <si>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</si>
  <si>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</si>
  <si>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</si>
  <si>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</si>
  <si>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</si>
  <si>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</si>
  <si>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</si>
  <si>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</si>
  <si>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</si>
  <si>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</si>
  <si>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</si>
  <si>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</si>
  <si>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</si>
  <si>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</si>
  <si>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</si>
  <si>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</si>
  <si>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</si>
  <si>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</si>
  <si>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</si>
  <si>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</si>
  <si>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</si>
  <si>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</si>
  <si>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</si>
  <si>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</si>
  <si>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</si>
  <si>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</si>
  <si>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</si>
  <si>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</si>
  <si>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</si>
  <si>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</si>
  <si>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</si>
  <si>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</si>
  <si>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</si>
  <si>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</si>
  <si>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</si>
  <si>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</si>
  <si>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</si>
  <si>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</si>
  <si>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</si>
  <si>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</si>
  <si>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</si>
  <si>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</si>
  <si>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</si>
  <si>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</si>
  <si>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</si>
  <si>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</si>
  <si>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</si>
  <si>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</si>
  <si>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</si>
  <si>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</si>
  <si>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</si>
  <si>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</si>
  <si>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</si>
  <si>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</si>
  <si>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</si>
  <si>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</si>
  <si>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</si>
  <si>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</si>
  <si>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</si>
  <si>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</si>
  <si>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</si>
  <si>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</si>
  <si>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</si>
  <si>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</si>
  <si>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</si>
  <si>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</si>
  <si>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</si>
  <si>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</si>
  <si>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</si>
  <si>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</si>
  <si>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</si>
  <si>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</si>
  <si>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</si>
  <si>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</si>
  <si>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</si>
  <si>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</si>
  <si>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</si>
  <si>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</si>
  <si>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</si>
  <si>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</si>
  <si>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</si>
  <si>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</si>
  <si>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</si>
  <si>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</si>
  <si>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</si>
  <si>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</si>
  <si>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</si>
  <si>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</si>
  <si>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</si>
  <si>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</si>
  <si>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</si>
  <si>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</si>
  <si>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</si>
  <si>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</si>
  <si>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</si>
  <si>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</si>
  <si>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</si>
  <si>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</si>
  <si>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</si>
  <si>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</si>
  <si>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</si>
  <si>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</si>
  <si>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</si>
  <si>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</si>
  <si>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</si>
  <si>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</si>
  <si>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</si>
  <si>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</si>
  <si>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</si>
  <si>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</si>
  <si>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</si>
  <si>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</si>
  <si>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</si>
  <si>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</si>
  <si>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</si>
  <si>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</si>
  <si>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</si>
  <si>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</si>
  <si>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</si>
  <si>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</si>
  <si>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</si>
  <si>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</si>
  <si>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</si>
  <si>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</si>
  <si>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</si>
  <si>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</si>
  <si>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</si>
  <si>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</si>
  <si>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</si>
  <si>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</si>
  <si>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</si>
  <si>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</si>
  <si>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</si>
  <si>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</si>
  <si>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</si>
  <si>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</si>
  <si>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</si>
  <si>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</si>
  <si>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</si>
  <si>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</si>
  <si>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</si>
  <si>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</si>
  <si>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</si>
  <si>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</si>
  <si>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</si>
  <si>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</si>
  <si>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</si>
  <si>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</si>
  <si>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</si>
  <si>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</si>
  <si>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</si>
  <si>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</si>
  <si>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</si>
  <si>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</si>
  <si>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</si>
  <si>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</si>
  <si>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</si>
  <si>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</si>
  <si>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</si>
  <si>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</si>
  <si>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</si>
  <si>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</si>
  <si>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</si>
  <si>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</si>
  <si>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</si>
  <si>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</si>
  <si>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</si>
  <si>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</si>
  <si>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</si>
  <si>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</si>
  <si>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</si>
  <si>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</si>
  <si>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</si>
  <si>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</si>
  <si>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</si>
  <si>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</si>
  <si>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</si>
  <si>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</si>
  <si>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</si>
  <si>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</si>
  <si>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</si>
  <si>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</si>
  <si>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</si>
  <si>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</si>
  <si>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</si>
  <si>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</si>
  <si>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</si>
  <si>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</si>
  <si>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</si>
  <si>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</si>
  <si>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</si>
  <si>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</si>
  <si>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</si>
  <si>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</si>
  <si>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</si>
  <si>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</si>
  <si>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</si>
  <si>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</si>
  <si>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</si>
  <si>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</si>
  <si>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</si>
  <si>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</si>
  <si>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</si>
  <si>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</si>
  <si>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</si>
  <si>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</si>
  <si>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</si>
  <si>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</si>
  <si>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</si>
  <si>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</si>
  <si>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</si>
  <si>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</si>
  <si>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</si>
  <si>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</si>
  <si>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</si>
  <si>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</si>
  <si>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</si>
  <si>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</si>
  <si>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</si>
  <si>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</si>
  <si>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</si>
  <si>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</si>
  <si>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</si>
  <si>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</si>
  <si>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</si>
  <si>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</si>
  <si>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</si>
  <si>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</si>
  <si>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</si>
  <si>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</si>
  <si>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</si>
  <si>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</si>
  <si>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</si>
  <si>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</si>
  <si>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</si>
  <si>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</si>
  <si>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</si>
  <si>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</si>
  <si>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</si>
  <si>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</si>
  <si>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</si>
  <si>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</si>
  <si>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</si>
  <si>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</si>
  <si>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</si>
  <si>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</si>
  <si>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</si>
  <si>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</si>
  <si>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</si>
  <si>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</si>
  <si>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</si>
  <si>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</si>
  <si>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</si>
  <si>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</si>
  <si>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</si>
  <si>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</si>
  <si>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</si>
  <si>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</si>
  <si>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</si>
  <si>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</si>
  <si>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</si>
  <si>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</si>
  <si>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</si>
  <si>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</si>
  <si>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</si>
  <si>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</si>
  <si>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</si>
  <si>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</si>
  <si>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</si>
  <si>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</si>
  <si>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</si>
  <si>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</si>
  <si>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</si>
  <si>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</si>
  <si>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</si>
  <si>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</si>
  <si>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</si>
  <si>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</si>
  <si>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</si>
  <si>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</si>
  <si>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</si>
  <si>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</si>
  <si>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</si>
  <si>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</si>
  <si>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</si>
  <si>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</si>
  <si>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</si>
  <si>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</si>
  <si>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</si>
  <si>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</si>
  <si>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</si>
  <si>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</si>
  <si>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</si>
  <si>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</si>
  <si>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</si>
  <si>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</si>
  <si>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</si>
  <si>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</si>
  <si>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</si>
  <si>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</si>
  <si>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</si>
  <si>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</si>
  <si>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</si>
  <si>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</si>
  <si>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</si>
  <si>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</si>
  <si>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</si>
  <si>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</si>
  <si>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</si>
  <si>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</si>
  <si>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</si>
  <si>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</si>
  <si>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</si>
  <si>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</si>
  <si>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</si>
  <si>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</si>
  <si>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</si>
  <si>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</si>
  <si>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</si>
  <si>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</si>
  <si>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</si>
  <si>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</si>
  <si>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</si>
  <si>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</si>
  <si>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</si>
  <si>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</si>
  <si>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</si>
  <si>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</si>
  <si>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</si>
  <si>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</si>
  <si>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</si>
  <si>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</si>
  <si>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</si>
  <si>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</si>
  <si>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</si>
  <si>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</si>
  <si>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</si>
  <si>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</si>
  <si>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</si>
  <si>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</si>
  <si>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</si>
  <si>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</si>
  <si>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</si>
  <si>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</si>
  <si>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</si>
  <si>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</si>
  <si>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</si>
  <si>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</si>
  <si>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</si>
  <si>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</si>
  <si>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</si>
  <si>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</si>
  <si>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</si>
  <si>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</si>
  <si>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</si>
  <si>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</si>
  <si>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</si>
  <si>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</si>
  <si>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</si>
  <si>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</si>
  <si>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</si>
  <si>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</si>
  <si>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</si>
  <si>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</si>
  <si>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</si>
  <si>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</si>
  <si>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</si>
  <si>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</si>
  <si>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</si>
  <si>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</si>
  <si>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</si>
  <si>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</si>
  <si>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</si>
  <si>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</si>
  <si>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</si>
  <si>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</si>
  <si>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</si>
  <si>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</si>
  <si>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</si>
  <si>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</si>
  <si>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</si>
  <si>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</si>
  <si>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</si>
  <si>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</si>
  <si>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</si>
  <si>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</si>
  <si>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</si>
  <si>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</si>
  <si>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</si>
  <si>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</si>
  <si>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</si>
  <si>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</si>
  <si>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</si>
  <si>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</si>
  <si>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</si>
  <si>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</si>
  <si>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</si>
  <si>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</si>
  <si>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</si>
  <si>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</si>
  <si>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</si>
  <si>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</si>
  <si>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</si>
  <si>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</si>
  <si>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</si>
  <si>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</si>
  <si>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</si>
  <si>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</si>
  <si>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</si>
  <si>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</si>
  <si>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</si>
  <si>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</si>
  <si>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</si>
  <si>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</si>
  <si>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</si>
  <si>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</si>
  <si>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</si>
  <si>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</si>
  <si>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</si>
  <si>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</si>
  <si>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</si>
  <si>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</si>
  <si>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</si>
  <si>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</si>
  <si>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</si>
  <si>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</si>
  <si>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</si>
  <si>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</si>
  <si>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</si>
  <si>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</si>
  <si>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</si>
  <si>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</si>
  <si>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</si>
  <si>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</si>
  <si>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</si>
  <si>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</si>
  <si>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</si>
  <si>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</si>
  <si>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</si>
  <si>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</si>
  <si>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</si>
  <si>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</si>
  <si>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</si>
  <si>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</si>
  <si>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</si>
  <si>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</si>
  <si>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</si>
  <si>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</si>
  <si>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</si>
  <si>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</si>
  <si>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</si>
  <si>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</si>
  <si>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</si>
  <si>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</si>
  <si>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</si>
  <si>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</si>
  <si>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</si>
  <si>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</si>
  <si>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</si>
  <si>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</si>
  <si>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</si>
  <si>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</si>
  <si>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</si>
  <si>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</si>
  <si>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</si>
  <si>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</si>
  <si>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</si>
  <si>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</si>
  <si>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</si>
  <si>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</si>
  <si>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</si>
  <si>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</si>
  <si>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</si>
  <si>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</si>
  <si>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</si>
  <si>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</si>
  <si>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</si>
  <si>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</si>
  <si>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</si>
  <si>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</si>
  <si>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</si>
  <si>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</si>
  <si>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</si>
  <si>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</si>
  <si>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</si>
  <si>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</si>
  <si>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</si>
  <si>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</si>
  <si>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</si>
  <si>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</si>
  <si>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</si>
  <si>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</si>
  <si>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</si>
  <si>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</si>
  <si>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</si>
  <si>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</si>
  <si>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</si>
  <si>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</si>
  <si>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</si>
  <si>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</si>
  <si>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</si>
  <si>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</si>
  <si>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</si>
  <si>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</si>
  <si>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</si>
  <si>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</si>
  <si>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</si>
  <si>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</si>
  <si>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</si>
  <si>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</si>
  <si>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</si>
  <si>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</si>
  <si>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</si>
  <si>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</si>
  <si>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</si>
  <si>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</si>
  <si>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</si>
  <si>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</si>
  <si>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</si>
  <si>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</si>
  <si>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</si>
  <si>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</si>
  <si>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</si>
  <si>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</si>
  <si>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</si>
  <si>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</si>
  <si>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</si>
  <si>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</si>
  <si>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</si>
  <si>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</si>
  <si>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</si>
  <si>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</si>
  <si>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</si>
  <si>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</si>
  <si>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</si>
  <si>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</si>
  <si>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</si>
  <si>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</si>
  <si>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</si>
  <si>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</si>
  <si>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</si>
  <si>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</si>
  <si>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</si>
  <si>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</si>
  <si>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</si>
  <si>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</si>
  <si>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</si>
  <si>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</si>
  <si>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</si>
  <si>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</si>
  <si>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</si>
  <si>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</si>
  <si>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</si>
  <si>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</si>
  <si>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</si>
  <si>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</si>
  <si>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</si>
  <si>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</si>
  <si>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</si>
  <si>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</si>
  <si>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</si>
  <si>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</si>
  <si>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</si>
  <si>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</si>
  <si>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</si>
  <si>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</si>
  <si>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</si>
  <si>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</si>
  <si>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</si>
  <si>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</si>
  <si>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</si>
  <si>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</si>
  <si>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</si>
  <si>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</si>
  <si>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</si>
  <si>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</si>
  <si>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</si>
  <si>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</si>
  <si>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</si>
  <si>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</si>
  <si>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</si>
  <si>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</si>
  <si>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</si>
  <si>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</si>
  <si>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</si>
  <si>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</si>
  <si>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</si>
  <si>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</si>
  <si>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</si>
  <si>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</si>
  <si>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</si>
  <si>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</si>
  <si>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</si>
  <si>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</si>
  <si>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</si>
  <si>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</si>
  <si>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</si>
  <si>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</si>
  <si>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</si>
  <si>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</si>
  <si>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</si>
  <si>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</si>
  <si>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</si>
  <si>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</si>
  <si>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</si>
  <si>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</si>
  <si>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</si>
  <si>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</si>
  <si>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</si>
  <si>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</si>
  <si>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</si>
  <si>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</si>
  <si>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</si>
  <si>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</si>
  <si>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</si>
  <si>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</si>
  <si>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</si>
  <si>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</si>
  <si>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</si>
  <si>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</si>
  <si>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</si>
  <si>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</si>
  <si>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</si>
  <si>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</si>
  <si>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</si>
  <si>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</si>
  <si>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</si>
  <si>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</si>
  <si>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</si>
  <si>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</si>
  <si>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</si>
  <si>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</si>
  <si>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</si>
  <si>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</si>
  <si>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</si>
  <si>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</si>
  <si>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</si>
  <si>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</si>
  <si>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</si>
  <si>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</si>
  <si>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</si>
  <si>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</si>
  <si>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</si>
  <si>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</si>
  <si>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</si>
  <si>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</si>
  <si>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</si>
  <si>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</si>
  <si>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</si>
  <si>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</si>
  <si>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</si>
  <si>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</si>
  <si>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</si>
  <si>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</si>
  <si>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</si>
  <si>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</si>
  <si>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</si>
  <si>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</si>
  <si>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</si>
  <si>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</si>
  <si>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</si>
  <si>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</si>
  <si>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</si>
  <si>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</si>
  <si>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</si>
  <si>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</si>
  <si>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</si>
  <si>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</si>
  <si>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</si>
  <si>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</si>
  <si>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</si>
  <si>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</si>
  <si>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</si>
  <si>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</si>
  <si>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</si>
  <si>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</si>
  <si>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</si>
  <si>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</si>
  <si>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</si>
  <si>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</si>
  <si>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</si>
  <si>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</si>
  <si>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</si>
  <si>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</si>
  <si>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</si>
  <si>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</si>
  <si>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</si>
  <si>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</si>
  <si>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</si>
  <si>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</si>
  <si>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</si>
  <si>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</si>
  <si>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</si>
  <si>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</si>
  <si>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</si>
  <si>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</si>
  <si>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</si>
  <si>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</si>
  <si>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</si>
  <si>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</si>
  <si>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</si>
  <si>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</si>
  <si>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</si>
  <si>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</si>
  <si>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</si>
  <si>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</si>
  <si>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</si>
  <si>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</si>
  <si>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</si>
  <si>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</si>
  <si>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</si>
  <si>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</si>
  <si>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</si>
  <si>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</si>
  <si>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</si>
  <si>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</si>
  <si>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</si>
  <si>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</si>
  <si>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</si>
  <si>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</si>
  <si>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</si>
  <si>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</si>
  <si>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</si>
  <si>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</si>
  <si>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</si>
  <si>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</si>
  <si>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</si>
  <si>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</si>
  <si>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</si>
  <si>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</si>
  <si>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</si>
  <si>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</si>
  <si>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</si>
  <si>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</si>
  <si>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</si>
  <si>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</si>
  <si>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</si>
  <si>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</si>
  <si>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</si>
  <si>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</si>
  <si>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</si>
  <si>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</si>
  <si>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</si>
  <si>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</si>
  <si>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</si>
  <si>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</si>
  <si>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</si>
  <si>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</si>
  <si>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</si>
  <si>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</si>
  <si>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</si>
  <si>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</si>
  <si>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</si>
  <si>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5" type="noConversion"/>
  </si>
  <si>
    <t>刘俊财</t>
    <phoneticPr fontId="85" type="noConversion"/>
  </si>
  <si>
    <t>2019-4</t>
    <phoneticPr fontId="3" type="noConversion"/>
  </si>
  <si>
    <t>2020-1</t>
    <phoneticPr fontId="142" type="noConversion"/>
  </si>
  <si>
    <t>刘俊财</t>
    <phoneticPr fontId="3" type="noConversion"/>
  </si>
  <si>
    <t>赣（2017）南昌县不动产权第0033810号</t>
    <phoneticPr fontId="142" type="noConversion"/>
  </si>
  <si>
    <t>权利人</t>
    <phoneticPr fontId="142" type="noConversion"/>
  </si>
  <si>
    <t>南昌安晟置业有限公司</t>
    <phoneticPr fontId="142" type="noConversion"/>
  </si>
  <si>
    <t>坐落</t>
    <phoneticPr fontId="142" type="noConversion"/>
  </si>
  <si>
    <t>银三角105国道以东、银三角万湖村，冈上镇黄台村境内N地块</t>
    <phoneticPr fontId="142" type="noConversion"/>
  </si>
  <si>
    <t>不动产单元号</t>
    <phoneticPr fontId="142" type="noConversion"/>
  </si>
  <si>
    <t>360121005007GB00008W00000000</t>
    <phoneticPr fontId="142" type="noConversion"/>
  </si>
  <si>
    <t>用途</t>
    <phoneticPr fontId="142" type="noConversion"/>
  </si>
  <si>
    <t>城镇住宅用地</t>
  </si>
  <si>
    <t>城镇住宅用地</t>
    <phoneticPr fontId="142" type="noConversion"/>
  </si>
  <si>
    <t>面积</t>
    <phoneticPr fontId="142" type="noConversion"/>
  </si>
  <si>
    <t>2014-3-5至2084-3-5</t>
    <phoneticPr fontId="142" type="noConversion"/>
  </si>
  <si>
    <t>不规则</t>
    <phoneticPr fontId="142" type="noConversion"/>
  </si>
  <si>
    <t>序号</t>
    <phoneticPr fontId="142" type="noConversion"/>
  </si>
  <si>
    <t>赣（2017）南昌县不动产权第0033809号</t>
    <phoneticPr fontId="142" type="noConversion"/>
  </si>
  <si>
    <t>银三角105国道以东、银三角万湖村，冈上镇黄台村境内Q地块</t>
    <phoneticPr fontId="142" type="noConversion"/>
  </si>
  <si>
    <t>360121005007GB00014W00000000</t>
    <phoneticPr fontId="142" type="noConversion"/>
  </si>
  <si>
    <t>赣（2017）南昌县不动产权第0033830号</t>
    <phoneticPr fontId="142" type="noConversion"/>
  </si>
  <si>
    <t>银三角105国道以东、银三角万湖村，冈上镇黄台村境内R地块</t>
    <phoneticPr fontId="142" type="noConversion"/>
  </si>
  <si>
    <t>360121005007GB00016W00000000</t>
    <phoneticPr fontId="142" type="noConversion"/>
  </si>
  <si>
    <t>2014-3-5至2084-3-17</t>
    <phoneticPr fontId="142" type="noConversion"/>
  </si>
  <si>
    <t>南国用（2014）第0058号</t>
    <phoneticPr fontId="142" type="noConversion"/>
  </si>
  <si>
    <t>南昌欧风置业有限公司</t>
    <phoneticPr fontId="142" type="noConversion"/>
  </si>
  <si>
    <t>银三角105国道以东，万湖村黄台村境内</t>
    <phoneticPr fontId="142" type="noConversion"/>
  </si>
  <si>
    <t>住宅用地</t>
  </si>
  <si>
    <t>住宅用地</t>
    <phoneticPr fontId="142" type="noConversion"/>
  </si>
  <si>
    <t>使用期限/终止日期</t>
    <phoneticPr fontId="142" type="noConversion"/>
  </si>
  <si>
    <t>不动产权证号/国有土地使用证号</t>
    <phoneticPr fontId="142" type="noConversion"/>
  </si>
  <si>
    <t>南国用（2013）第0040号</t>
    <phoneticPr fontId="142" type="noConversion"/>
  </si>
  <si>
    <t>南昌茵梦湖酒店投资管理有限公司</t>
    <phoneticPr fontId="142" type="noConversion"/>
  </si>
  <si>
    <t>105国道以东，银三角万湖村以南</t>
    <phoneticPr fontId="142" type="noConversion"/>
  </si>
  <si>
    <t>商业用地</t>
    <phoneticPr fontId="142" type="noConversion"/>
  </si>
  <si>
    <t>赣（2019）南昌县不动产权第0014220号</t>
    <phoneticPr fontId="142" type="noConversion"/>
  </si>
  <si>
    <t>南昌茵梦湖置业有限公司</t>
    <phoneticPr fontId="142" type="noConversion"/>
  </si>
  <si>
    <t>南昌县范围105国道以东，英雄开发区万湖村以南</t>
    <phoneticPr fontId="142" type="noConversion"/>
  </si>
  <si>
    <t>——</t>
    <phoneticPr fontId="142" type="noConversion"/>
  </si>
  <si>
    <t>360121005007GB00024W00000000</t>
    <phoneticPr fontId="142" type="noConversion"/>
  </si>
  <si>
    <t>商服用地</t>
    <phoneticPr fontId="142" type="noConversion"/>
  </si>
  <si>
    <t>2010-12-30至2050-12-30</t>
    <phoneticPr fontId="142" type="noConversion"/>
  </si>
  <si>
    <t>地形</t>
    <phoneticPr fontId="142" type="noConversion"/>
  </si>
  <si>
    <t>赣（2019）南昌县不动产权第0014221号</t>
    <phoneticPr fontId="142" type="noConversion"/>
  </si>
  <si>
    <t>南昌县范围105国道以东，岗上镇黄台村以北</t>
    <phoneticPr fontId="142" type="noConversion"/>
  </si>
  <si>
    <t>360121005007GB00023W00000000</t>
    <phoneticPr fontId="142" type="noConversion"/>
  </si>
  <si>
    <t>文体娱乐用地</t>
    <phoneticPr fontId="142" type="noConversion"/>
  </si>
  <si>
    <t>2010-12-30至2060-12-30</t>
    <phoneticPr fontId="142" type="noConversion"/>
  </si>
  <si>
    <t>赣（2019）南昌县不动产权第0018964号</t>
    <phoneticPr fontId="142" type="noConversion"/>
  </si>
  <si>
    <t>南昌县范围内，105国道以东，银三角万湖村、岗上镇黄台村境内A地块</t>
    <phoneticPr fontId="142" type="noConversion"/>
  </si>
  <si>
    <t>360121005007GB00007W00000000</t>
    <phoneticPr fontId="142" type="noConversion"/>
  </si>
  <si>
    <t>2012-2-23至2052-2-22</t>
    <phoneticPr fontId="142" type="noConversion"/>
  </si>
  <si>
    <t>南国用（2012）第00227号</t>
    <phoneticPr fontId="142" type="noConversion"/>
  </si>
  <si>
    <t>南昌县银三角105国道东B地块</t>
    <phoneticPr fontId="142" type="noConversion"/>
  </si>
  <si>
    <t>商业</t>
    <phoneticPr fontId="142" type="noConversion"/>
  </si>
  <si>
    <t>赣（2017）南昌县不动产权第0018963号</t>
    <phoneticPr fontId="142" type="noConversion"/>
  </si>
  <si>
    <t>南昌县范围内，105国道以东，银三角万湖村、岗上镇黄台村境内D地块</t>
    <phoneticPr fontId="142" type="noConversion"/>
  </si>
  <si>
    <t>360121005007GB00006W00000000</t>
    <phoneticPr fontId="142" type="noConversion"/>
  </si>
  <si>
    <t>风景名胜设施用地</t>
    <phoneticPr fontId="142" type="noConversion"/>
  </si>
  <si>
    <t>2012-5-14至2052-5-14</t>
    <phoneticPr fontId="142" type="noConversion"/>
  </si>
  <si>
    <t>赣（2017）南昌县不动产权第0018961号</t>
    <phoneticPr fontId="142" type="noConversion"/>
  </si>
  <si>
    <t>南昌县范围内，105国道以东，银三角万湖村、岗上镇黄台村境内E地块</t>
    <phoneticPr fontId="142" type="noConversion"/>
  </si>
  <si>
    <t>360121005007GB00005W00000000</t>
    <phoneticPr fontId="142" type="noConversion"/>
  </si>
  <si>
    <t>2012-5-30至2052-5-30</t>
    <phoneticPr fontId="142" type="noConversion"/>
  </si>
  <si>
    <t>银三角105国道以东，银三角万湖村，岗上镇黄台村境内F地块</t>
    <phoneticPr fontId="142" type="noConversion"/>
  </si>
  <si>
    <t>105国道以东，万湖村、黄台村境内</t>
    <phoneticPr fontId="142" type="noConversion"/>
  </si>
  <si>
    <t>南国用（2015）第0062号</t>
    <phoneticPr fontId="142" type="noConversion"/>
  </si>
  <si>
    <t>南国用（2013）第0083号</t>
    <phoneticPr fontId="142" type="noConversion"/>
  </si>
  <si>
    <t>南国用（2014）第0028号</t>
    <phoneticPr fontId="142" type="noConversion"/>
  </si>
  <si>
    <t>南国用（2013）第0039号</t>
    <phoneticPr fontId="142" type="noConversion"/>
  </si>
  <si>
    <t>住宅</t>
  </si>
  <si>
    <t>住宅</t>
    <phoneticPr fontId="142" type="noConversion"/>
  </si>
  <si>
    <t>南国用（2014）第0027号</t>
    <phoneticPr fontId="142" type="noConversion"/>
  </si>
  <si>
    <t>南国用（2015）第0063号</t>
    <phoneticPr fontId="142" type="noConversion"/>
  </si>
  <si>
    <t>银三角105国道以东，银三角万湖村，岗上镇黄台村境内K地块</t>
    <phoneticPr fontId="142" type="noConversion"/>
  </si>
  <si>
    <t>南国用（2013）第0082号</t>
    <phoneticPr fontId="142" type="noConversion"/>
  </si>
  <si>
    <t>南国用（2014）第0026号</t>
    <phoneticPr fontId="142" type="noConversion"/>
  </si>
  <si>
    <t>合计</t>
    <phoneticPr fontId="142" type="noConversion"/>
  </si>
  <si>
    <t>电子监管号</t>
    <phoneticPr fontId="142" type="noConversion"/>
  </si>
  <si>
    <t>3601212014B00223</t>
    <phoneticPr fontId="142" type="noConversion"/>
  </si>
  <si>
    <t>出让价款</t>
    <phoneticPr fontId="142" type="noConversion"/>
  </si>
  <si>
    <t>楼面单价</t>
    <phoneticPr fontId="142" type="noConversion"/>
  </si>
  <si>
    <t>建筑面积</t>
    <phoneticPr fontId="142" type="noConversion"/>
  </si>
  <si>
    <t>容积率</t>
  </si>
  <si>
    <t>容积率</t>
    <phoneticPr fontId="142" type="noConversion"/>
  </si>
  <si>
    <t>不高于1.1，不低于1</t>
  </si>
  <si>
    <t>不高于1.1，不低于1</t>
    <phoneticPr fontId="142" type="noConversion"/>
  </si>
  <si>
    <t>不高于30%</t>
    <phoneticPr fontId="142" type="noConversion"/>
  </si>
  <si>
    <t>绿地率</t>
    <phoneticPr fontId="142" type="noConversion"/>
  </si>
  <si>
    <t>不低于35%</t>
  </si>
  <si>
    <t>不低于35%</t>
    <phoneticPr fontId="142" type="noConversion"/>
  </si>
  <si>
    <t>套型建筑面积90平方米以下住房面积占宗地开发建筑总面积的比例</t>
    <phoneticPr fontId="142" type="noConversion"/>
  </si>
  <si>
    <t>不低于10%</t>
  </si>
  <si>
    <t>不低于10%</t>
    <phoneticPr fontId="142" type="noConversion"/>
  </si>
  <si>
    <t>3601212014B00230</t>
    <phoneticPr fontId="142" type="noConversion"/>
  </si>
  <si>
    <t>3601212014B00246</t>
    <phoneticPr fontId="142" type="noConversion"/>
  </si>
  <si>
    <t>3601212014B00210</t>
    <phoneticPr fontId="142" type="noConversion"/>
  </si>
  <si>
    <t>3601212012B00206</t>
    <phoneticPr fontId="142" type="noConversion"/>
  </si>
  <si>
    <t>地块</t>
    <phoneticPr fontId="142" type="noConversion"/>
  </si>
  <si>
    <t>N</t>
    <phoneticPr fontId="142" type="noConversion"/>
  </si>
  <si>
    <t>Q</t>
    <phoneticPr fontId="142" type="noConversion"/>
  </si>
  <si>
    <t>R</t>
    <phoneticPr fontId="142" type="noConversion"/>
  </si>
  <si>
    <t>S</t>
    <phoneticPr fontId="142" type="noConversion"/>
  </si>
  <si>
    <t>C</t>
    <phoneticPr fontId="142" type="noConversion"/>
  </si>
  <si>
    <t>B</t>
    <phoneticPr fontId="142" type="noConversion"/>
  </si>
  <si>
    <t>D</t>
    <phoneticPr fontId="142" type="noConversion"/>
  </si>
  <si>
    <t>E</t>
    <phoneticPr fontId="142" type="noConversion"/>
  </si>
  <si>
    <t>F</t>
    <phoneticPr fontId="142" type="noConversion"/>
  </si>
  <si>
    <t>K</t>
    <phoneticPr fontId="142" type="noConversion"/>
  </si>
  <si>
    <t xml:space="preserve"> 不高于1</t>
    <phoneticPr fontId="142" type="noConversion"/>
  </si>
  <si>
    <t>不高于35%</t>
  </si>
  <si>
    <t>不高于35%</t>
    <phoneticPr fontId="142" type="noConversion"/>
  </si>
  <si>
    <t>3601212010B00828</t>
    <phoneticPr fontId="142" type="noConversion"/>
  </si>
  <si>
    <t>3601212012B00086</t>
    <phoneticPr fontId="142" type="noConversion"/>
  </si>
  <si>
    <t>A</t>
    <phoneticPr fontId="142" type="noConversion"/>
  </si>
  <si>
    <t>3601212012B00194</t>
    <phoneticPr fontId="142" type="noConversion"/>
  </si>
  <si>
    <t>3601212012B00170</t>
    <phoneticPr fontId="142" type="noConversion"/>
  </si>
  <si>
    <t>是</t>
  </si>
  <si>
    <t>地上</t>
  </si>
  <si>
    <t>省会市名称</t>
  </si>
  <si>
    <t>建筑型式</t>
  </si>
  <si>
    <t>说明</t>
  </si>
  <si>
    <t>多层</t>
  </si>
  <si>
    <t>小高层</t>
  </si>
  <si>
    <t>高层</t>
  </si>
  <si>
    <t>南昌</t>
  </si>
  <si>
    <t>2019年下半年城市住宅建安工程造价分析共上报9个工程，其中多层2个，小高层2，高层5个，取平均值得出工程造价指标.</t>
  </si>
  <si>
    <t>假设开发法</t>
  </si>
  <si>
    <t>土地</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</si>
  <si>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</si>
  <si>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</si>
  <si>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</si>
  <si>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</si>
  <si>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</si>
  <si>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</si>
  <si>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</si>
  <si>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</si>
  <si>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</si>
  <si>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</si>
  <si>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</si>
  <si>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</si>
  <si>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</si>
  <si>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</si>
  <si>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</si>
  <si>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</si>
  <si>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</si>
  <si>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</si>
  <si>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</si>
  <si>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南昌县范围内汇仁大道以北、银湖三路以南、银湖中路以东.</t>
  </si>
  <si>
    <t>南昌市</t>
  </si>
  <si>
    <t>挂牌</t>
  </si>
  <si>
    <t>DAJ2019061</t>
  </si>
  <si>
    <t>大于或等于1.6并且小于1.8</t>
  </si>
  <si>
    <t>2019-12-27</t>
  </si>
  <si>
    <t>赣国土资网交地[2019]AJ035号</t>
  </si>
  <si>
    <t>联发集团南昌联宏房地产开发有限公司</t>
  </si>
  <si>
    <t>70年</t>
  </si>
  <si>
    <t>3星</t>
  </si>
  <si>
    <t>南昌县范围内银湖三路以南、东祥路以西.</t>
  </si>
  <si>
    <t>DAJ2019060</t>
  </si>
  <si>
    <t>江西煌盛房地产开发有限公司,罗昊</t>
  </si>
  <si>
    <t>南昌县范围内汇仁大道以北、东祥路以西.</t>
  </si>
  <si>
    <t>DAJ2019062</t>
  </si>
  <si>
    <t>南昌县范围内青山湖大道以东、梗头一路以南.</t>
  </si>
  <si>
    <t>DAJ2019058</t>
  </si>
  <si>
    <t>大于或等于1.8并且小于2</t>
  </si>
  <si>
    <t>熊志刚</t>
  </si>
  <si>
    <t>南昌县范围内银湖中路以东,文山一路以北DAJ2019059号地块</t>
  </si>
  <si>
    <t>南昌县范围内银湖中路以东,文山一路以北地块</t>
  </si>
  <si>
    <t>拍卖</t>
  </si>
  <si>
    <t>DAJ2019059</t>
  </si>
  <si>
    <t>2.3≤far＜2.5</t>
  </si>
  <si>
    <t>南昌正驰置业有限公司</t>
  </si>
  <si>
    <t>南昌县范围内汽车大道以南、规划路以东.</t>
  </si>
  <si>
    <t>DAJ2019053</t>
  </si>
  <si>
    <t>大于或等于2并且小于2.2</t>
  </si>
  <si>
    <t>2019-12-20</t>
  </si>
  <si>
    <t>赣国土资网交地[2019]AJ033号</t>
  </si>
  <si>
    <t>金茂华中企业管理(天津)有限公司</t>
  </si>
  <si>
    <t>5星</t>
  </si>
  <si>
    <t>南昌县范围内银湖四路以南、银湖中路以东.</t>
  </si>
  <si>
    <t>DAJ2019054</t>
  </si>
  <si>
    <t>江西煌盛房地产开发有限公司</t>
  </si>
  <si>
    <t>南昌县范围内东莲路以南、东祥路以东.</t>
  </si>
  <si>
    <t>DAJ2019055</t>
  </si>
  <si>
    <t>南昌海磊置业有限公司</t>
  </si>
  <si>
    <t>4星</t>
  </si>
  <si>
    <t>南昌县范围内滨江大道以东,昌南大道以南,东祥路(抚生路)以西(B2-3)地块.</t>
  </si>
  <si>
    <t>DAJ2019038</t>
  </si>
  <si>
    <t>大于或等于3.2并且小于或等于3.5</t>
  </si>
  <si>
    <t>2019-11-08</t>
  </si>
  <si>
    <t>赣国土资网交地[2019]AJ023号</t>
  </si>
  <si>
    <t>南昌洪大长薪置业有限公司</t>
  </si>
  <si>
    <t>0星</t>
  </si>
  <si>
    <t>南昌县范围内东岳四路以南,滨江西路以西,沿江南大道以东(E4)地块.</t>
  </si>
  <si>
    <t>DAJ2019041</t>
  </si>
  <si>
    <t>大于或等于2.2并且小于或等于2.5</t>
  </si>
  <si>
    <t>赣国土资网交地[2019]AJ024号</t>
  </si>
  <si>
    <t>南昌县范围内下邓路以东,芳湖路以南,河洲路以西(B2-1)地块.</t>
  </si>
  <si>
    <t>DAJ2019040</t>
  </si>
  <si>
    <t>南昌县范围内小蓝大道以南,东祥路以东.</t>
  </si>
  <si>
    <t>DAJ2019034</t>
  </si>
  <si>
    <t>2019-10-23</t>
  </si>
  <si>
    <t>赣国土资网交地[2019]AJ022号</t>
  </si>
  <si>
    <t>江西平安房地产开发有限公司2</t>
  </si>
  <si>
    <t>2星</t>
  </si>
  <si>
    <t>南昌县范围内小蓝大道以南,抚河以西.</t>
  </si>
  <si>
    <t>DAJ2019035</t>
  </si>
  <si>
    <t>江西平安房地产开发有限公司</t>
  </si>
  <si>
    <t>南昌县范围内小蓝大道以南,抚河以西</t>
  </si>
  <si>
    <t>综合用地(含住宅)</t>
  </si>
  <si>
    <t>商住用地(商业建筑面积占计容总建筑面积的11%)</t>
  </si>
  <si>
    <t>1.6≤far＜1.8</t>
  </si>
  <si>
    <t>2019/10/23</t>
  </si>
  <si>
    <t>商业40年、住宅70年</t>
  </si>
  <si>
    <t>南昌县范围内莲塘河以南,万寿湖路以东,万寿湖电排站以西.</t>
  </si>
  <si>
    <t>DAJ2019023</t>
  </si>
  <si>
    <t>大于或等于1.6并且小于2.2</t>
  </si>
  <si>
    <t>2019-06-28</t>
  </si>
  <si>
    <t>南昌县自然资源局(南昌县土地交易中心)国有土地使用权拍卖出让公告(赣国土资网交地[2019]AJ015号)</t>
  </si>
  <si>
    <t>江西凌鸿克置业有限公司</t>
  </si>
  <si>
    <t>南昌县范围内邓埠一路以北,学院路以东.</t>
  </si>
  <si>
    <t>DAJ2019017</t>
  </si>
  <si>
    <t>大于或等于1.8并且小于2.2</t>
  </si>
  <si>
    <t>2019-06-14</t>
  </si>
  <si>
    <t>南昌县自然资源局(南昌县土地交易中心)国有土地使用权拍卖出让公告(赣国土资网交地[2019]AJ012号)</t>
  </si>
  <si>
    <t>南昌鸿海置业有限公司</t>
  </si>
  <si>
    <t>南昌县范围内东莲路以南,银湖四路以北,河洲路以东地块.</t>
  </si>
  <si>
    <t>DAJ2019008</t>
  </si>
  <si>
    <t>2019-05-10</t>
  </si>
  <si>
    <t>赣国土资网交地[2019]AJ007号</t>
  </si>
  <si>
    <t>江西力高旅游文化产业有限公司,江西省海诚房地产开发有限公司,南昌银城房地产开发有限公司</t>
  </si>
  <si>
    <t>南昌县范围内东莲路以南,银湖四路以北,新抚路以西地块.</t>
  </si>
  <si>
    <t>DAJ2019009</t>
  </si>
  <si>
    <t>南昌县范围内南外环以北,工业大道绿带以东,富路以南地块.</t>
  </si>
  <si>
    <t>DAJ2019007</t>
  </si>
  <si>
    <t>大于或等于2.2并且小于2.84</t>
  </si>
  <si>
    <t>2019-04-29</t>
  </si>
  <si>
    <t>赣国土资网交地[2019]AJ006号</t>
  </si>
  <si>
    <t>江西华东粮食农产品交易大市场有限责任公司</t>
  </si>
  <si>
    <t>南昌县范围内莲西路以东,振兴大道以北,李埠南路以南地块.</t>
  </si>
  <si>
    <t>DAJ2019003</t>
  </si>
  <si>
    <t>2019-03-18</t>
  </si>
  <si>
    <t>赣国土资网交地[2019]AJ003号</t>
  </si>
  <si>
    <t>南昌正荣(新加坡)置业有限公司</t>
  </si>
  <si>
    <t>南昌县范围内斗柏路以南、三幼用地以北地块.</t>
  </si>
  <si>
    <t>DAJ2018030</t>
  </si>
  <si>
    <t>其他普通商品住房用地</t>
  </si>
  <si>
    <t>大于3.8并且小于或等于4.2</t>
  </si>
  <si>
    <t>2018-09-19</t>
  </si>
  <si>
    <t>赣国土资网交地[2018]AJ014号</t>
  </si>
  <si>
    <t>江西省汇源房地产开发有限公司</t>
  </si>
  <si>
    <t>南昌县范围内桃新大道以东,东岳五路以南C地块.</t>
  </si>
  <si>
    <t>DAJ2018027</t>
  </si>
  <si>
    <t>2018-08-22</t>
  </si>
  <si>
    <t>赣国土资网交地[2018]AJ12号</t>
  </si>
  <si>
    <t>江西城高房地产开发有限公司</t>
  </si>
  <si>
    <t>南昌县范围内东新二路以西,东岳四路以北B地块.</t>
  </si>
  <si>
    <t>DAJ2018026</t>
  </si>
  <si>
    <t>南昌县范围内东新二路以西,东岳五路以南A地块.</t>
  </si>
  <si>
    <t>DAJ2018025</t>
  </si>
  <si>
    <t>南昌县范围内桃新大道以东,东岳四路以北D地块.</t>
  </si>
  <si>
    <t>DAJ2018028</t>
  </si>
  <si>
    <t>南昌县范围内河洲路以西,文山一路以南,文山二路以北D地块.</t>
  </si>
  <si>
    <t>DAJ2018018</t>
  </si>
  <si>
    <t>2018-08-08</t>
  </si>
  <si>
    <t>赣国土资网交地[2018]AJ009号</t>
  </si>
  <si>
    <t>南昌县城市建设投资发展有限公司2</t>
  </si>
  <si>
    <t>南昌县范围内杜鹃花路以东,文山二路以北,文山一路以南C地块.</t>
  </si>
  <si>
    <t>DAJ2018017</t>
  </si>
  <si>
    <t>江西省旅游集团文旅产业投资发展有限公司3</t>
  </si>
  <si>
    <t>南昌县范围内河洲路以西,文山一路以北,文山北路以南B地块.</t>
  </si>
  <si>
    <t>DAJ2018016</t>
  </si>
  <si>
    <t>大于或等于1.6并且小于2</t>
  </si>
  <si>
    <t>南昌县范围内莲河路以西1#地块</t>
  </si>
  <si>
    <t>南昌县范围内莲河路以西1#地块.</t>
  </si>
  <si>
    <t>DAJ2018019</t>
  </si>
  <si>
    <t>商住用地(商业建筑面积占计容总建筑面积60%;竞买资金须全部为外资)</t>
  </si>
  <si>
    <t>大于或等于2.2并且小于2.5</t>
  </si>
  <si>
    <t>赣国土资网交地[2018]AJ010号</t>
  </si>
  <si>
    <t>江西润永通地产置业有限公司</t>
  </si>
  <si>
    <t>40年</t>
  </si>
  <si>
    <t>南昌县范围内杜鹃花路以东,文山一路以北,文山北路以南A地块.</t>
  </si>
  <si>
    <t>DAJ2018015</t>
  </si>
  <si>
    <t>南昌县范围内河洲路(抚生西路)以东,银城路以北,东祥路(抚生路)以西DAJ2017063号地块.&amp;#160;</t>
  </si>
  <si>
    <t>南昌县范围内河洲路(抚生西路)以东,银城路以北,东祥路(抚生路)以西.</t>
  </si>
  <si>
    <t>DAJ2017063</t>
  </si>
  <si>
    <t>＞1.0且＜2.5</t>
  </si>
  <si>
    <t>2018-01-10</t>
  </si>
  <si>
    <t>赣国土资网交地[2017]AJ026号</t>
  </si>
  <si>
    <t>南昌卓壹投资有限公司</t>
  </si>
  <si>
    <t>南昌县范围内东祥路(抚生路)以东,银城路以北.</t>
  </si>
  <si>
    <t>DAJ2017068</t>
  </si>
  <si>
    <t>赣国土资网交地[2017]AJ027号</t>
  </si>
  <si>
    <t>悦泰发展有限公司</t>
  </si>
  <si>
    <t>南昌县范围内东莲路以南,银湖四路以北,新抚路以东.</t>
  </si>
  <si>
    <t>DAJ2017066</t>
  </si>
  <si>
    <t>煌上煌集团有限公司</t>
  </si>
  <si>
    <t>南昌县范围内东莲路以南.银湖四路以北,东祥路(抚生路)以西.</t>
  </si>
  <si>
    <t>DAJ2017067</t>
  </si>
  <si>
    <t>江西固特实业有限公司</t>
  </si>
  <si>
    <t>南昌县范围内象湖二路以南,东祥路(抚生路)以东.</t>
  </si>
  <si>
    <t>DAJ2017065</t>
  </si>
  <si>
    <t>武汉旭兴房地产开发有限公司</t>
  </si>
  <si>
    <t>南昌县范围内河洲路(抚生西路)以东,象湖二路以南,东祥路(抚生路)以西.</t>
  </si>
  <si>
    <t>DAJ2017064</t>
  </si>
  <si>
    <t>商住用地(商业建筑面积占计容总建筑面积60%)</t>
  </si>
  <si>
    <t>大于2.2并且小于2.5</t>
  </si>
  <si>
    <t>南昌县范围内象湖新城银城路以南,抚生西路以东.</t>
  </si>
  <si>
    <t>DAJ2017059</t>
  </si>
  <si>
    <t>2017-11-01</t>
  </si>
  <si>
    <t>赣国土资网交地[2017]AJ022号</t>
  </si>
  <si>
    <t>南昌县城市建设投资发展有限公司</t>
  </si>
  <si>
    <t>南昌县蒋巷镇高梧村蒋巷西大道以东.</t>
  </si>
  <si>
    <t>DAJ2017020</t>
  </si>
  <si>
    <t>大于1并且小于2.2</t>
  </si>
  <si>
    <t>2017-06-08</t>
  </si>
  <si>
    <t>赣国土资网交地[2017]AJ009号</t>
  </si>
  <si>
    <t>江西省飞鸿置业有限公司</t>
  </si>
  <si>
    <t>南昌县范围内汇仁大道以南,抚生西路以东,文山一路以北.</t>
  </si>
  <si>
    <t>DAJ2017026</t>
  </si>
  <si>
    <t>大于2.2并且小于或等于2.5</t>
  </si>
  <si>
    <t>2017-06-07</t>
  </si>
  <si>
    <t>赣国土资网交地[2017]AJ010号</t>
  </si>
  <si>
    <t>福州富力房地产开发有限公司,百时国际有限公司</t>
  </si>
  <si>
    <t>南昌县蒋巷镇高梧村蒋巷中心公路以东.</t>
  </si>
  <si>
    <t>DAJ2017021</t>
  </si>
  <si>
    <t>南昌县范围内城北路以南,莲西大道以西,天伦华庭小区以北.</t>
  </si>
  <si>
    <t>DAJ2017019</t>
  </si>
  <si>
    <t>南昌银城房地产开发有限公司</t>
  </si>
  <si>
    <t>南昌县范围内汇仁大道以南,银湖中路以西,文山一路以北.</t>
  </si>
  <si>
    <t>DAJ2017027</t>
  </si>
  <si>
    <t>DAJ2017023</t>
  </si>
  <si>
    <t>南昌盈宏实业有限公司</t>
  </si>
  <si>
    <t>南昌县蒋巷镇高梧村蒋巷西大道以西.</t>
  </si>
  <si>
    <t>DAJ2017025</t>
  </si>
  <si>
    <t>DAJ2017022</t>
  </si>
  <si>
    <t>大于1并且小于2</t>
  </si>
  <si>
    <t>南昌县蒋巷镇蒋巷西大道以南.</t>
  </si>
  <si>
    <t>DAJ2017024</t>
  </si>
  <si>
    <t>江西丰盈阁实业有限公司</t>
  </si>
  <si>
    <t>南昌县向塘镇沿巷路以西,东风一路以南.</t>
  </si>
  <si>
    <t>DAJ2017008</t>
  </si>
  <si>
    <t>大于1.8并且小于或等于2</t>
  </si>
  <si>
    <t>2017-05-15</t>
  </si>
  <si>
    <t>赣国土资网交地[2017]AJ005号</t>
  </si>
  <si>
    <t>南昌弘高投资有限公司</t>
  </si>
  <si>
    <r>
      <rPr>
        <sz val="9"/>
        <color indexed="8"/>
        <rFont val="宋体"/>
        <family val="3"/>
        <charset val="134"/>
      </rPr>
      <t>案例</t>
    </r>
    <r>
      <rPr>
        <sz val="9"/>
        <color indexed="8"/>
        <rFont val="Arial"/>
        <family val="2"/>
      </rPr>
      <t>A</t>
    </r>
    <phoneticPr fontId="3" type="noConversion"/>
  </si>
  <si>
    <r>
      <rPr>
        <sz val="9"/>
        <color indexed="8"/>
        <rFont val="宋体"/>
        <family val="3"/>
        <charset val="134"/>
      </rPr>
      <t>案例</t>
    </r>
    <r>
      <rPr>
        <sz val="9"/>
        <color indexed="8"/>
        <rFont val="Arial"/>
        <family val="2"/>
      </rPr>
      <t>B</t>
    </r>
    <phoneticPr fontId="3" type="noConversion"/>
  </si>
  <si>
    <r>
      <rPr>
        <sz val="9"/>
        <color indexed="8"/>
        <rFont val="宋体"/>
        <family val="3"/>
        <charset val="134"/>
      </rPr>
      <t>案例</t>
    </r>
    <r>
      <rPr>
        <sz val="9"/>
        <color indexed="8"/>
        <rFont val="Arial"/>
        <family val="2"/>
      </rPr>
      <t>C</t>
    </r>
    <phoneticPr fontId="3" type="noConversion"/>
  </si>
  <si>
    <t>估价对象</t>
    <phoneticPr fontId="3" type="noConversion"/>
  </si>
  <si>
    <t>地面单价</t>
    <phoneticPr fontId="142" type="noConversion"/>
  </si>
  <si>
    <t>住宅用地容积率修正系数表</t>
  </si>
  <si>
    <t>≤0.4</t>
  </si>
  <si>
    <t>(0.4,0.7]</t>
  </si>
  <si>
    <t>(0.7,1.0]</t>
  </si>
  <si>
    <t>(1.0,1.2]</t>
  </si>
  <si>
    <t>(1.2,1.4]</t>
  </si>
  <si>
    <t>(1.4,1.8)</t>
  </si>
  <si>
    <t>[1.8～2.2]</t>
  </si>
  <si>
    <t>楼面地价修正系数</t>
  </si>
  <si>
    <t>地面地价修正系数</t>
  </si>
  <si>
    <t>(2.2,2.6]</t>
  </si>
  <si>
    <t>(2.6,3.0]</t>
  </si>
  <si>
    <t>(3.0,3.4]</t>
  </si>
  <si>
    <t>(3.4,3.8]</t>
  </si>
  <si>
    <t>(3.8,4.2]</t>
  </si>
  <si>
    <t>(4.2,4.6]</t>
  </si>
  <si>
    <t>＞4.6</t>
  </si>
  <si>
    <t>1.15 </t>
  </si>
  <si>
    <t>1.28 </t>
  </si>
  <si>
    <t>1.41 </t>
  </si>
  <si>
    <t>1.52 </t>
  </si>
  <si>
    <t>1.62 </t>
  </si>
  <si>
    <t>1.71 </t>
  </si>
  <si>
    <t>1.80 </t>
  </si>
  <si>
    <t>住宅用地容积率地面地价修正系数</t>
    <phoneticPr fontId="3" type="noConversion"/>
  </si>
  <si>
    <t>楼面单价</t>
    <phoneticPr fontId="3" type="noConversion"/>
  </si>
  <si>
    <t>较规则</t>
  </si>
  <si>
    <t>较规则</t>
    <phoneticPr fontId="31" type="noConversion"/>
  </si>
  <si>
    <t>较不规则</t>
  </si>
  <si>
    <t>较不规则</t>
    <phoneticPr fontId="31" type="noConversion"/>
  </si>
  <si>
    <t>正常</t>
  </si>
  <si>
    <t>限价</t>
    <phoneticPr fontId="31" type="noConversion"/>
  </si>
  <si>
    <t>无</t>
    <phoneticPr fontId="31" type="noConversion"/>
  </si>
  <si>
    <t>有</t>
    <phoneticPr fontId="31" type="noConversion"/>
  </si>
  <si>
    <t>出让</t>
  </si>
  <si>
    <t>较差</t>
  </si>
  <si>
    <t>一般</t>
  </si>
  <si>
    <t>未包含在土地购买价格中</t>
  </si>
  <si>
    <t>已包含在土地取得成本中</t>
  </si>
  <si>
    <t>南昌县蒋巷镇蒋巷西大道以南.</t>
    <phoneticPr fontId="142" type="noConversion"/>
  </si>
  <si>
    <t>G</t>
    <phoneticPr fontId="142" type="noConversion"/>
  </si>
  <si>
    <t>H</t>
    <phoneticPr fontId="142" type="noConversion"/>
  </si>
  <si>
    <t>I</t>
    <phoneticPr fontId="142" type="noConversion"/>
  </si>
  <si>
    <t>J</t>
    <phoneticPr fontId="142" type="noConversion"/>
  </si>
  <si>
    <t>L</t>
    <phoneticPr fontId="142" type="noConversion"/>
  </si>
  <si>
    <t>M</t>
    <phoneticPr fontId="142" type="noConversion"/>
  </si>
  <si>
    <t>3601212013B02238</t>
    <phoneticPr fontId="142" type="noConversion"/>
  </si>
  <si>
    <t>3601212012B00140</t>
    <phoneticPr fontId="142" type="noConversion"/>
  </si>
  <si>
    <t>3601212012B00151</t>
    <phoneticPr fontId="142" type="noConversion"/>
  </si>
  <si>
    <t>3601212013B02220</t>
    <phoneticPr fontId="142" type="noConversion"/>
  </si>
  <si>
    <t>3601212012B00166</t>
    <phoneticPr fontId="142" type="noConversion"/>
  </si>
  <si>
    <t>3601212013B02249</t>
    <phoneticPr fontId="142" type="noConversion"/>
  </si>
  <si>
    <t>3601212012B00189</t>
    <phoneticPr fontId="142" type="noConversion"/>
  </si>
  <si>
    <t>3601212012B00125</t>
    <phoneticPr fontId="142" type="noConversion"/>
  </si>
  <si>
    <t>不高于0.2</t>
    <phoneticPr fontId="142" type="noConversion"/>
  </si>
  <si>
    <t>不高于20%</t>
    <phoneticPr fontId="142" type="noConversion"/>
  </si>
  <si>
    <t>不低于50%</t>
    <phoneticPr fontId="142" type="noConversion"/>
  </si>
  <si>
    <t>3601212010B00812</t>
    <phoneticPr fontId="142" type="noConversion"/>
  </si>
  <si>
    <t>不高于0.07</t>
    <phoneticPr fontId="142" type="noConversion"/>
  </si>
  <si>
    <t>3601212012B00132</t>
    <phoneticPr fontId="142" type="noConversion"/>
  </si>
  <si>
    <t>小计</t>
    <phoneticPr fontId="142" type="noConversion"/>
  </si>
  <si>
    <t>证号</t>
    <phoneticPr fontId="142" type="noConversion"/>
  </si>
  <si>
    <t>建字第360121201800084号</t>
    <phoneticPr fontId="142" type="noConversion"/>
  </si>
  <si>
    <t>江南院子B地块1组团1-5#（共5栋）</t>
    <phoneticPr fontId="142" type="noConversion"/>
  </si>
  <si>
    <t>建筑物名称</t>
    <phoneticPr fontId="142" type="noConversion"/>
  </si>
  <si>
    <t>层数</t>
    <phoneticPr fontId="142" type="noConversion"/>
  </si>
  <si>
    <t>规划建筑面积</t>
    <phoneticPr fontId="142" type="noConversion"/>
  </si>
  <si>
    <t>公建</t>
    <phoneticPr fontId="142" type="noConversion"/>
  </si>
  <si>
    <t>总套数</t>
    <phoneticPr fontId="142" type="noConversion"/>
  </si>
  <si>
    <t>1#</t>
    <phoneticPr fontId="142" type="noConversion"/>
  </si>
  <si>
    <t>2#</t>
    <phoneticPr fontId="142" type="noConversion"/>
  </si>
  <si>
    <t>3#</t>
    <phoneticPr fontId="142" type="noConversion"/>
  </si>
  <si>
    <t>4#</t>
    <phoneticPr fontId="142" type="noConversion"/>
  </si>
  <si>
    <t>5#</t>
    <phoneticPr fontId="142" type="noConversion"/>
  </si>
  <si>
    <t>地下一层</t>
    <phoneticPr fontId="142" type="noConversion"/>
  </si>
  <si>
    <t>闷顶层</t>
    <phoneticPr fontId="142" type="noConversion"/>
  </si>
  <si>
    <t>地下室</t>
    <phoneticPr fontId="142" type="noConversion"/>
  </si>
  <si>
    <t>建字第360121201900059号</t>
    <phoneticPr fontId="142" type="noConversion"/>
  </si>
  <si>
    <t>江南院子H地块9组团6、7#（共2栋）</t>
    <phoneticPr fontId="142" type="noConversion"/>
  </si>
  <si>
    <t>9-6#楼</t>
    <phoneticPr fontId="142" type="noConversion"/>
  </si>
  <si>
    <t>9-7#楼</t>
    <phoneticPr fontId="142" type="noConversion"/>
  </si>
  <si>
    <t>地下储藏室</t>
    <phoneticPr fontId="142" type="noConversion"/>
  </si>
  <si>
    <t>建字第360121201900067号</t>
    <phoneticPr fontId="142" type="noConversion"/>
  </si>
  <si>
    <t>江南院子9组团1-5#、8-13#、13A#、15-23#、23A#、25-33#及地下室、11组团1#（共32栋）</t>
    <phoneticPr fontId="142" type="noConversion"/>
  </si>
  <si>
    <t>9-1#楼</t>
    <phoneticPr fontId="142" type="noConversion"/>
  </si>
  <si>
    <t>9-2#楼</t>
  </si>
  <si>
    <t>9-3#楼</t>
  </si>
  <si>
    <t>9-4#楼</t>
  </si>
  <si>
    <t>9-5#楼</t>
  </si>
  <si>
    <t>9-8#楼</t>
    <phoneticPr fontId="142" type="noConversion"/>
  </si>
  <si>
    <t>9-15#楼</t>
    <phoneticPr fontId="142" type="noConversion"/>
  </si>
  <si>
    <t>9-17#楼</t>
    <phoneticPr fontId="142" type="noConversion"/>
  </si>
  <si>
    <t>9-18#楼</t>
  </si>
  <si>
    <t>9-25#楼</t>
    <phoneticPr fontId="142" type="noConversion"/>
  </si>
  <si>
    <t>9-26#楼</t>
  </si>
  <si>
    <t>9-27#楼</t>
  </si>
  <si>
    <t>9-32#楼</t>
    <phoneticPr fontId="142" type="noConversion"/>
  </si>
  <si>
    <t>9-33#楼</t>
  </si>
  <si>
    <t>9-9#楼</t>
    <phoneticPr fontId="142" type="noConversion"/>
  </si>
  <si>
    <t>9-10#楼</t>
  </si>
  <si>
    <t>9-11#楼</t>
  </si>
  <si>
    <t>9-12#楼</t>
  </si>
  <si>
    <t>9-13#楼</t>
  </si>
  <si>
    <t>9-22#楼</t>
  </si>
  <si>
    <t>9-23#楼</t>
  </si>
  <si>
    <t>9-13A#楼</t>
    <phoneticPr fontId="142" type="noConversion"/>
  </si>
  <si>
    <t>9-19#楼</t>
    <phoneticPr fontId="142" type="noConversion"/>
  </si>
  <si>
    <t>9-20#楼</t>
    <phoneticPr fontId="142" type="noConversion"/>
  </si>
  <si>
    <t>9-21#楼</t>
    <phoneticPr fontId="142" type="noConversion"/>
  </si>
  <si>
    <t>9-23A#楼</t>
    <phoneticPr fontId="142" type="noConversion"/>
  </si>
  <si>
    <t>9-28#楼</t>
    <phoneticPr fontId="142" type="noConversion"/>
  </si>
  <si>
    <t>9-29#楼</t>
  </si>
  <si>
    <t>9-30#楼</t>
  </si>
  <si>
    <t>9-31#楼</t>
  </si>
  <si>
    <t>9-16#楼</t>
    <phoneticPr fontId="142" type="noConversion"/>
  </si>
  <si>
    <t>11-1#幼儿园</t>
    <phoneticPr fontId="142" type="noConversion"/>
  </si>
  <si>
    <t>9#组团地下车库</t>
    <phoneticPr fontId="142" type="noConversion"/>
  </si>
  <si>
    <t>其他/不计容</t>
    <phoneticPr fontId="142" type="noConversion"/>
  </si>
  <si>
    <t>幼儿园</t>
    <phoneticPr fontId="142" type="noConversion"/>
  </si>
  <si>
    <t>商业1层；消防控制室、物业管理</t>
    <phoneticPr fontId="142" type="noConversion"/>
  </si>
  <si>
    <t>南昌茵梦湖旅游开发有限公司</t>
  </si>
  <si>
    <t>地上/地下</t>
  </si>
  <si>
    <t>地上建筑面积</t>
  </si>
  <si>
    <t>地下建筑面积</t>
  </si>
  <si>
    <t>可售/不可售</t>
  </si>
  <si>
    <t>可售</t>
  </si>
  <si>
    <t>非可售</t>
  </si>
  <si>
    <t>业态</t>
  </si>
  <si>
    <t>高层住宅（m2)</t>
  </si>
  <si>
    <t>办公（m2)</t>
  </si>
  <si>
    <t>商业(m2)</t>
  </si>
  <si>
    <t>其他（m2)</t>
  </si>
  <si>
    <t>地下车库（m2)</t>
  </si>
  <si>
    <t>A地块</t>
  </si>
  <si>
    <t>4#组团</t>
  </si>
  <si>
    <t>4-1#</t>
  </si>
  <si>
    <t>4-2#</t>
  </si>
  <si>
    <t>4-3#</t>
  </si>
  <si>
    <t>4-4#</t>
  </si>
  <si>
    <t>4-5#</t>
  </si>
  <si>
    <t>4-6#</t>
  </si>
  <si>
    <t>4-7#</t>
  </si>
  <si>
    <t>60.6地块</t>
  </si>
  <si>
    <t>5#组团</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</si>
  <si>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</si>
  <si>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</si>
  <si>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</si>
  <si>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</si>
  <si>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</si>
  <si>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</si>
  <si>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</si>
  <si>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</si>
  <si>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</si>
  <si>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</si>
  <si>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</si>
  <si>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</si>
  <si>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</si>
  <si>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</si>
  <si>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</si>
  <si>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</si>
  <si>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</si>
  <si>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</si>
  <si>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</si>
  <si>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</si>
  <si>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</si>
  <si>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</si>
  <si>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</si>
  <si>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</si>
  <si>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</si>
  <si>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</si>
  <si>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</si>
  <si>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</si>
  <si>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</si>
  <si>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100.8亩地块</t>
  </si>
  <si>
    <t>6#组团</t>
  </si>
  <si>
    <t>6-1#</t>
  </si>
  <si>
    <t>6-2#</t>
  </si>
  <si>
    <t>6-3#</t>
  </si>
  <si>
    <t>6-3A#</t>
  </si>
  <si>
    <t>6-5#</t>
  </si>
  <si>
    <t>6-6#</t>
  </si>
  <si>
    <t>6-7#</t>
  </si>
  <si>
    <t>6-8#</t>
  </si>
  <si>
    <t>6-9#</t>
  </si>
  <si>
    <t>6-10#</t>
  </si>
  <si>
    <t>6-11#</t>
  </si>
  <si>
    <t>6-12#</t>
  </si>
  <si>
    <t>6-13#</t>
  </si>
  <si>
    <t>6-13A#</t>
  </si>
  <si>
    <t>6-15#</t>
  </si>
  <si>
    <t>6-16#</t>
  </si>
  <si>
    <t>6-17#</t>
  </si>
  <si>
    <t>D地块</t>
  </si>
  <si>
    <t>7#组团</t>
  </si>
  <si>
    <t>7-1#</t>
  </si>
  <si>
    <t>7-2#</t>
  </si>
  <si>
    <t>7-3#</t>
  </si>
  <si>
    <t>7-3A#</t>
  </si>
  <si>
    <t>7-5#</t>
  </si>
  <si>
    <t>7-6#</t>
  </si>
  <si>
    <t>7-7#</t>
  </si>
  <si>
    <t>7-8#</t>
  </si>
  <si>
    <t>7-9#</t>
  </si>
  <si>
    <t>7-10#</t>
  </si>
  <si>
    <t>7-11#</t>
  </si>
  <si>
    <t>7-12#</t>
  </si>
  <si>
    <t>7-13#</t>
  </si>
  <si>
    <t>E地块</t>
  </si>
  <si>
    <t>8#组团</t>
  </si>
  <si>
    <t>8-1#</t>
  </si>
  <si>
    <t>8-2#</t>
  </si>
  <si>
    <t>8-3#</t>
  </si>
  <si>
    <t>8-3A#</t>
  </si>
  <si>
    <t>8-5#</t>
  </si>
  <si>
    <t>8-6#</t>
  </si>
  <si>
    <t>8-7#</t>
  </si>
  <si>
    <t>8-8#</t>
  </si>
  <si>
    <t>8-9#</t>
  </si>
  <si>
    <t>8-10#</t>
  </si>
  <si>
    <t>8-11#</t>
  </si>
  <si>
    <t>8-12#</t>
  </si>
  <si>
    <t>总计</t>
  </si>
  <si>
    <t>南昌茵梦湖酒店投资管理有限公司</t>
  </si>
  <si>
    <t>别墅住宅（m2)</t>
  </si>
  <si>
    <t>C地块</t>
  </si>
  <si>
    <t>3#组团</t>
  </si>
  <si>
    <t>3-1#</t>
  </si>
  <si>
    <t>3-2#</t>
  </si>
  <si>
    <t>3-3#</t>
  </si>
  <si>
    <t>3-4#</t>
  </si>
  <si>
    <t>3-5#</t>
  </si>
  <si>
    <t>3-6#</t>
  </si>
  <si>
    <t>3-7#</t>
  </si>
  <si>
    <t>3-8#</t>
  </si>
  <si>
    <t>3-9#</t>
  </si>
  <si>
    <t>3-10#</t>
  </si>
  <si>
    <t>3-11#</t>
  </si>
  <si>
    <t>3-12#</t>
  </si>
  <si>
    <t>3-13#</t>
  </si>
  <si>
    <t>3-14#</t>
  </si>
  <si>
    <t>3-15#</t>
  </si>
  <si>
    <t>3-16#</t>
  </si>
  <si>
    <t>南昌茵梦湖置业有限公司</t>
  </si>
  <si>
    <t>B地块</t>
  </si>
  <si>
    <t>1#组团</t>
  </si>
  <si>
    <t>1-1#</t>
  </si>
  <si>
    <t>1-2#</t>
  </si>
  <si>
    <t>1-3#</t>
  </si>
  <si>
    <t>1-4#</t>
  </si>
  <si>
    <t>1-5#</t>
  </si>
  <si>
    <t>2#组团</t>
  </si>
  <si>
    <t>2-1#</t>
  </si>
  <si>
    <t>2-2#</t>
  </si>
  <si>
    <t>2-3#</t>
  </si>
  <si>
    <t>2-4#</t>
  </si>
  <si>
    <t>2-5#</t>
  </si>
  <si>
    <t>2-6#</t>
  </si>
  <si>
    <t>2-7#</t>
  </si>
  <si>
    <t>2-8#</t>
  </si>
  <si>
    <t>2-9#</t>
  </si>
  <si>
    <t>2-10#</t>
  </si>
  <si>
    <t>2-11#</t>
  </si>
  <si>
    <t>2-12#</t>
  </si>
  <si>
    <t>2-13#</t>
  </si>
  <si>
    <r>
      <rPr>
        <sz val="11"/>
        <color theme="1"/>
        <rFont val="宋体"/>
        <family val="3"/>
        <charset val="134"/>
        <scheme val="minor"/>
      </rPr>
      <t>2-1</t>
    </r>
    <r>
      <rPr>
        <sz val="11"/>
        <color theme="1"/>
        <rFont val="宋体"/>
        <family val="3"/>
        <charset val="134"/>
        <scheme val="minor"/>
      </rPr>
      <t>4</t>
    </r>
    <r>
      <rPr>
        <sz val="11"/>
        <color theme="1"/>
        <rFont val="宋体"/>
        <family val="3"/>
        <charset val="134"/>
        <scheme val="minor"/>
      </rPr>
      <t>#</t>
    </r>
  </si>
  <si>
    <t>2-15#</t>
  </si>
  <si>
    <t>F地块</t>
  </si>
  <si>
    <t>9#组团</t>
  </si>
  <si>
    <t>9-1#</t>
  </si>
  <si>
    <t>9-2#</t>
  </si>
  <si>
    <t>9-3#</t>
  </si>
  <si>
    <t>9-3A#</t>
  </si>
  <si>
    <t>9-8#</t>
  </si>
  <si>
    <t>9-9#</t>
  </si>
  <si>
    <t>9-10#</t>
  </si>
  <si>
    <t>9-12#</t>
  </si>
  <si>
    <t>9-13#</t>
  </si>
  <si>
    <t>9-16#</t>
  </si>
  <si>
    <t>9-17#</t>
  </si>
  <si>
    <t>9-18#</t>
  </si>
  <si>
    <t>9-19#</t>
  </si>
  <si>
    <t>9-21#</t>
  </si>
  <si>
    <t>9-23#</t>
  </si>
  <si>
    <t>9-27#</t>
  </si>
  <si>
    <t>9-28#</t>
  </si>
  <si>
    <t>9-30#</t>
  </si>
  <si>
    <t>12#组团</t>
  </si>
  <si>
    <t>12-1#</t>
  </si>
  <si>
    <t>12-2#</t>
  </si>
  <si>
    <t>12-3#</t>
  </si>
  <si>
    <t>12-6#</t>
  </si>
  <si>
    <t>12-11#</t>
  </si>
  <si>
    <t>G地块</t>
  </si>
  <si>
    <t>9-5#</t>
  </si>
  <si>
    <t>9-23A#</t>
  </si>
  <si>
    <t>9-29#</t>
  </si>
  <si>
    <t>9-31#</t>
  </si>
  <si>
    <t>10#组团</t>
  </si>
  <si>
    <t>10-1#</t>
  </si>
  <si>
    <t>10-2#</t>
  </si>
  <si>
    <t>10-3#</t>
  </si>
  <si>
    <t>10-7#</t>
  </si>
  <si>
    <t>12-3A#</t>
  </si>
  <si>
    <t>12-5#</t>
  </si>
  <si>
    <t>12-7#</t>
  </si>
  <si>
    <t>12-8#</t>
  </si>
  <si>
    <t>12-9#</t>
  </si>
  <si>
    <t>12-10#</t>
  </si>
  <si>
    <t>12-15#</t>
  </si>
  <si>
    <t>H地块</t>
  </si>
  <si>
    <t>9-6#</t>
  </si>
  <si>
    <t>9-7#</t>
  </si>
  <si>
    <t>9-11#</t>
  </si>
  <si>
    <t>9-13A#</t>
  </si>
  <si>
    <t>9-15#</t>
  </si>
  <si>
    <t>9-20#</t>
  </si>
  <si>
    <t>9-22#</t>
  </si>
  <si>
    <t>9-25#</t>
  </si>
  <si>
    <t>9-26#</t>
  </si>
  <si>
    <t>9-32#</t>
  </si>
  <si>
    <t>9-33#</t>
  </si>
  <si>
    <t>10-3A#</t>
  </si>
  <si>
    <t>10-11#</t>
  </si>
  <si>
    <t>10-13#</t>
  </si>
  <si>
    <t>10-13A#</t>
  </si>
  <si>
    <t>11#组团</t>
  </si>
  <si>
    <t>11-1#</t>
  </si>
  <si>
    <t>11-2#</t>
  </si>
  <si>
    <t>11-3#</t>
  </si>
  <si>
    <t>11-3A#</t>
  </si>
  <si>
    <t>11-13#</t>
  </si>
  <si>
    <t>11-13A#</t>
  </si>
  <si>
    <t>11-15#</t>
  </si>
  <si>
    <t>M地块</t>
  </si>
  <si>
    <t>12-12#</t>
  </si>
  <si>
    <t>12-13#</t>
  </si>
  <si>
    <t>12-13A#</t>
  </si>
  <si>
    <t>12-16#</t>
  </si>
  <si>
    <t>12-17#</t>
  </si>
  <si>
    <t>12-18#</t>
  </si>
  <si>
    <t>12-19#</t>
  </si>
  <si>
    <t>12-25#</t>
  </si>
  <si>
    <t>12-27#</t>
  </si>
  <si>
    <t>12-28#</t>
  </si>
  <si>
    <t>12-29#</t>
  </si>
  <si>
    <t>12-30#</t>
  </si>
  <si>
    <t>12-31#</t>
  </si>
  <si>
    <t>12-32#</t>
  </si>
  <si>
    <t>12-35#</t>
  </si>
  <si>
    <t>12-36#</t>
  </si>
  <si>
    <t>12-37#</t>
  </si>
  <si>
    <t>12-38#</t>
  </si>
  <si>
    <t>12-39#</t>
  </si>
  <si>
    <t>12-40#</t>
  </si>
  <si>
    <t>12-41#</t>
  </si>
  <si>
    <t>12-42#</t>
  </si>
  <si>
    <t>12-43#</t>
  </si>
  <si>
    <t>12-45#</t>
  </si>
  <si>
    <t>12-46#</t>
  </si>
  <si>
    <t>12-47#</t>
  </si>
  <si>
    <t>I地块</t>
  </si>
  <si>
    <t>12-20#</t>
  </si>
  <si>
    <t>12-48#</t>
  </si>
  <si>
    <t>12-49#</t>
  </si>
  <si>
    <t>12-50#</t>
  </si>
  <si>
    <t>12-52#</t>
  </si>
  <si>
    <t>12-53#</t>
  </si>
  <si>
    <t>12-57#</t>
  </si>
  <si>
    <t>13组团</t>
  </si>
  <si>
    <t>13-1#</t>
  </si>
  <si>
    <t>13-2#</t>
  </si>
  <si>
    <t>13-3#</t>
  </si>
  <si>
    <t>13-3A#</t>
  </si>
  <si>
    <t>13-5#</t>
  </si>
  <si>
    <t>13-15#</t>
  </si>
  <si>
    <t>13-16#</t>
  </si>
  <si>
    <t>13-17#</t>
  </si>
  <si>
    <t>13-28#</t>
  </si>
  <si>
    <t>13-29#</t>
  </si>
  <si>
    <t>13-30#</t>
  </si>
  <si>
    <t>13-31#</t>
  </si>
  <si>
    <t>13-37#</t>
  </si>
  <si>
    <t>13-38#</t>
  </si>
  <si>
    <t>J地块</t>
  </si>
  <si>
    <t>12-21#</t>
  </si>
  <si>
    <t>12-22#</t>
  </si>
  <si>
    <t>12-23#</t>
  </si>
  <si>
    <t>12-23A#</t>
  </si>
  <si>
    <t>12-26#</t>
  </si>
  <si>
    <t>12-33#</t>
  </si>
  <si>
    <t>12-33A#</t>
  </si>
  <si>
    <t>12-43A#</t>
  </si>
  <si>
    <t>12-51#</t>
  </si>
  <si>
    <t>12-53A#</t>
  </si>
  <si>
    <t>12-58#</t>
  </si>
  <si>
    <t>13#组团</t>
  </si>
  <si>
    <t>13-6#</t>
  </si>
  <si>
    <t>13-11#</t>
  </si>
  <si>
    <t>13-12#</t>
  </si>
  <si>
    <t>13-13#</t>
  </si>
  <si>
    <t>13-18#</t>
  </si>
  <si>
    <t>13-19#</t>
  </si>
  <si>
    <t>13-20#</t>
  </si>
  <si>
    <t>13-23A#</t>
  </si>
  <si>
    <t>13-25#</t>
  </si>
  <si>
    <t>13-26#</t>
  </si>
  <si>
    <t>13-32#</t>
  </si>
  <si>
    <t>13-33#</t>
  </si>
  <si>
    <t>13-39#</t>
  </si>
  <si>
    <t>K地块</t>
  </si>
  <si>
    <t>13-41#</t>
  </si>
  <si>
    <t>13-42#</t>
  </si>
  <si>
    <t>13-43#</t>
  </si>
  <si>
    <t>13-43A#</t>
  </si>
  <si>
    <t>13-45#</t>
  </si>
  <si>
    <t>13-46#</t>
  </si>
  <si>
    <t>13-47#</t>
  </si>
  <si>
    <t>13-50#</t>
  </si>
  <si>
    <t>13-51#</t>
  </si>
  <si>
    <t>13-52#</t>
  </si>
  <si>
    <t>13-53#</t>
  </si>
  <si>
    <t>13-53A#</t>
  </si>
  <si>
    <t>13-55#</t>
  </si>
  <si>
    <t>13-56#</t>
  </si>
  <si>
    <t>13-57#</t>
  </si>
  <si>
    <t>13-65#</t>
  </si>
  <si>
    <t>13-66#</t>
  </si>
  <si>
    <t>13-67#</t>
  </si>
  <si>
    <t>13-68#</t>
  </si>
  <si>
    <t>13-73#</t>
  </si>
  <si>
    <t>13-73A#</t>
  </si>
  <si>
    <t>13-80#</t>
  </si>
  <si>
    <t>L地块</t>
  </si>
  <si>
    <t>13-48#</t>
  </si>
  <si>
    <t>13-49#</t>
  </si>
  <si>
    <t>13-58#</t>
  </si>
  <si>
    <t>13-59#</t>
  </si>
  <si>
    <t>13-60#</t>
  </si>
  <si>
    <t>13-61#</t>
  </si>
  <si>
    <t>13-62#</t>
  </si>
  <si>
    <t>13-63#</t>
  </si>
  <si>
    <t>13-63A#</t>
  </si>
  <si>
    <t>13-69#</t>
  </si>
  <si>
    <t>13-70#</t>
  </si>
  <si>
    <t>13-71#</t>
  </si>
  <si>
    <t>13-72#</t>
  </si>
  <si>
    <t>13-75#</t>
  </si>
  <si>
    <t>13-76#</t>
  </si>
  <si>
    <t>13-77#</t>
  </si>
  <si>
    <t>13-78#</t>
  </si>
  <si>
    <t>13-79#</t>
  </si>
  <si>
    <t>南昌安晟置业有限公司</t>
  </si>
  <si>
    <t>Q地块</t>
  </si>
  <si>
    <r>
      <rPr>
        <sz val="11"/>
        <color theme="1"/>
        <rFont val="宋体"/>
        <family val="3"/>
        <charset val="134"/>
        <scheme val="minor"/>
      </rPr>
      <t>1</t>
    </r>
    <r>
      <rPr>
        <sz val="11"/>
        <color theme="1"/>
        <rFont val="宋体"/>
        <family val="3"/>
        <charset val="134"/>
        <scheme val="minor"/>
      </rPr>
      <t>0</t>
    </r>
    <r>
      <rPr>
        <sz val="11"/>
        <color theme="1"/>
        <rFont val="宋体"/>
        <family val="3"/>
        <charset val="134"/>
        <scheme val="minor"/>
      </rPr>
      <t>#组团</t>
    </r>
  </si>
  <si>
    <t>10-5#</t>
  </si>
  <si>
    <r>
      <rPr>
        <sz val="11"/>
        <color rgb="FFFF0000"/>
        <rFont val="宋体"/>
        <family val="3"/>
        <charset val="134"/>
        <scheme val="minor"/>
      </rPr>
      <t>10-6#</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</si>
  <si>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8#</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</si>
  <si>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9#</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</si>
  <si>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10#</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</si>
  <si>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12#</t>
    </r>
  </si>
  <si>
    <r>
      <rPr>
        <sz val="11"/>
        <color rgb="FFFF0000"/>
        <rFont val="宋体"/>
        <family val="3"/>
        <charset val="134"/>
        <scheme val="minor"/>
      </rPr>
      <t>10-17#</t>
    </r>
  </si>
  <si>
    <r>
      <rPr>
        <sz val="11"/>
        <color theme="1"/>
        <rFont val="宋体"/>
        <family val="3"/>
        <charset val="134"/>
        <scheme val="minor"/>
      </rPr>
      <t>10</t>
    </r>
    <r>
      <rPr>
        <sz val="11"/>
        <color theme="1"/>
        <rFont val="宋体"/>
        <family val="3"/>
        <charset val="134"/>
        <scheme val="minor"/>
      </rPr>
      <t>-</t>
    </r>
    <r>
      <rPr>
        <sz val="11"/>
        <color theme="1"/>
        <rFont val="宋体"/>
        <family val="3"/>
        <charset val="134"/>
        <scheme val="minor"/>
      </rPr>
      <t>18#</t>
    </r>
  </si>
  <si>
    <t>10-19#</t>
  </si>
  <si>
    <r>
      <rPr>
        <sz val="11"/>
        <color theme="1"/>
        <rFont val="宋体"/>
        <family val="3"/>
        <charset val="134"/>
        <scheme val="minor"/>
      </rPr>
      <t>1</t>
    </r>
    <r>
      <rPr>
        <sz val="11"/>
        <color theme="1"/>
        <rFont val="宋体"/>
        <family val="3"/>
        <charset val="134"/>
        <scheme val="minor"/>
      </rPr>
      <t>1#组团</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</si>
  <si>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8</t>
    </r>
    <r>
      <rPr>
        <sz val="11"/>
        <color theme="1"/>
        <rFont val="宋体"/>
        <family val="3"/>
        <charset val="134"/>
        <scheme val="minor"/>
      </rPr>
      <t>#</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</si>
  <si>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9#</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</si>
  <si>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10#</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</si>
  <si>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11#</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</si>
  <si>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12#</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</si>
  <si>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19#</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</si>
  <si>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23#</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</si>
  <si>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23A#</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</si>
  <si>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25#</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</si>
  <si>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31#</t>
    </r>
  </si>
  <si>
    <r>
      <rPr>
        <sz val="11"/>
        <color theme="1"/>
        <rFont val="宋体"/>
        <family val="3"/>
        <charset val="134"/>
        <scheme val="minor"/>
      </rPr>
      <t>11</t>
    </r>
    <r>
      <rPr>
        <sz val="11"/>
        <color theme="1"/>
        <rFont val="宋体"/>
        <family val="3"/>
        <charset val="134"/>
        <scheme val="minor"/>
      </rPr>
      <t>-</t>
    </r>
    <r>
      <rPr>
        <sz val="11"/>
        <color theme="1"/>
        <rFont val="宋体"/>
        <family val="3"/>
        <charset val="134"/>
        <scheme val="minor"/>
      </rPr>
      <t>32#</t>
    </r>
  </si>
  <si>
    <t>11-37#</t>
  </si>
  <si>
    <t>11-42#</t>
  </si>
  <si>
    <t>R地块</t>
  </si>
  <si>
    <t>10-15#</t>
  </si>
  <si>
    <t>10-16#</t>
  </si>
  <si>
    <r>
      <rPr>
        <sz val="11"/>
        <color theme="1"/>
        <rFont val="宋体"/>
        <family val="3"/>
        <charset val="134"/>
        <scheme val="minor"/>
      </rPr>
      <t>1</t>
    </r>
    <r>
      <rPr>
        <sz val="11"/>
        <color theme="1"/>
        <rFont val="宋体"/>
        <family val="3"/>
        <charset val="134"/>
        <scheme val="minor"/>
      </rPr>
      <t>1</t>
    </r>
    <r>
      <rPr>
        <sz val="11"/>
        <color theme="1"/>
        <rFont val="宋体"/>
        <family val="3"/>
        <charset val="134"/>
        <scheme val="minor"/>
      </rPr>
      <t>#组团</t>
    </r>
  </si>
  <si>
    <r>
      <rPr>
        <sz val="11"/>
        <color theme="1"/>
        <rFont val="宋体"/>
        <family val="3"/>
        <charset val="134"/>
        <scheme val="minor"/>
      </rPr>
      <t>1</t>
    </r>
    <r>
      <rPr>
        <sz val="11"/>
        <color theme="1"/>
        <rFont val="宋体"/>
        <family val="3"/>
        <charset val="134"/>
        <scheme val="minor"/>
      </rPr>
      <t>1-5#</t>
    </r>
  </si>
  <si>
    <r>
      <rPr>
        <sz val="11"/>
        <color theme="1"/>
        <rFont val="宋体"/>
        <family val="3"/>
        <charset val="134"/>
        <scheme val="minor"/>
      </rPr>
      <t>1</t>
    </r>
    <r>
      <rPr>
        <sz val="11"/>
        <color theme="1"/>
        <rFont val="宋体"/>
        <family val="3"/>
        <charset val="134"/>
        <scheme val="minor"/>
      </rPr>
      <t>1-6#</t>
    </r>
  </si>
  <si>
    <r>
      <rPr>
        <sz val="11"/>
        <color theme="1"/>
        <rFont val="宋体"/>
        <family val="3"/>
        <charset val="134"/>
        <scheme val="minor"/>
      </rPr>
      <t>1</t>
    </r>
    <r>
      <rPr>
        <sz val="11"/>
        <color theme="1"/>
        <rFont val="宋体"/>
        <family val="3"/>
        <charset val="134"/>
        <scheme val="minor"/>
      </rPr>
      <t>1-7#</t>
    </r>
  </si>
  <si>
    <r>
      <rPr>
        <sz val="11"/>
        <color theme="1"/>
        <rFont val="宋体"/>
        <family val="3"/>
        <charset val="134"/>
        <scheme val="minor"/>
      </rPr>
      <t>1</t>
    </r>
    <r>
      <rPr>
        <sz val="11"/>
        <color theme="1"/>
        <rFont val="宋体"/>
        <family val="3"/>
        <charset val="134"/>
        <scheme val="minor"/>
      </rPr>
      <t>1-16#</t>
    </r>
  </si>
  <si>
    <r>
      <rPr>
        <sz val="11"/>
        <color theme="1"/>
        <rFont val="宋体"/>
        <family val="3"/>
        <charset val="134"/>
        <scheme val="minor"/>
      </rPr>
      <t>1</t>
    </r>
    <r>
      <rPr>
        <sz val="11"/>
        <color theme="1"/>
        <rFont val="宋体"/>
        <family val="3"/>
        <charset val="134"/>
        <scheme val="minor"/>
      </rPr>
      <t>1-17#</t>
    </r>
  </si>
  <si>
    <r>
      <rPr>
        <sz val="11"/>
        <color theme="1"/>
        <rFont val="宋体"/>
        <family val="3"/>
        <charset val="134"/>
        <scheme val="minor"/>
      </rPr>
      <t>1</t>
    </r>
    <r>
      <rPr>
        <sz val="11"/>
        <color theme="1"/>
        <rFont val="宋体"/>
        <family val="3"/>
        <charset val="134"/>
        <scheme val="minor"/>
      </rPr>
      <t>1-18#</t>
    </r>
  </si>
  <si>
    <r>
      <rPr>
        <sz val="11"/>
        <color theme="1"/>
        <rFont val="宋体"/>
        <family val="3"/>
        <charset val="134"/>
        <scheme val="minor"/>
      </rPr>
      <t>1</t>
    </r>
    <r>
      <rPr>
        <sz val="11"/>
        <color theme="1"/>
        <rFont val="宋体"/>
        <family val="3"/>
        <charset val="134"/>
        <scheme val="minor"/>
      </rPr>
      <t>1-20#</t>
    </r>
  </si>
  <si>
    <r>
      <rPr>
        <sz val="11"/>
        <color theme="1"/>
        <rFont val="宋体"/>
        <family val="3"/>
        <charset val="134"/>
        <scheme val="minor"/>
      </rPr>
      <t>1</t>
    </r>
    <r>
      <rPr>
        <sz val="11"/>
        <color theme="1"/>
        <rFont val="宋体"/>
        <family val="3"/>
        <charset val="134"/>
        <scheme val="minor"/>
      </rPr>
      <t>1-21#</t>
    </r>
  </si>
  <si>
    <r>
      <rPr>
        <sz val="11"/>
        <color theme="1"/>
        <rFont val="宋体"/>
        <family val="3"/>
        <charset val="134"/>
        <scheme val="minor"/>
      </rPr>
      <t>1</t>
    </r>
    <r>
      <rPr>
        <sz val="11"/>
        <color theme="1"/>
        <rFont val="宋体"/>
        <family val="3"/>
        <charset val="134"/>
        <scheme val="minor"/>
      </rPr>
      <t>1-22#</t>
    </r>
  </si>
  <si>
    <r>
      <rPr>
        <sz val="11"/>
        <color theme="1"/>
        <rFont val="宋体"/>
        <family val="3"/>
        <charset val="134"/>
        <scheme val="minor"/>
      </rPr>
      <t>11-28#</t>
    </r>
  </si>
  <si>
    <t>11-29#</t>
  </si>
  <si>
    <t>11-30#</t>
  </si>
  <si>
    <t>11-33#</t>
  </si>
  <si>
    <t>11-34#</t>
  </si>
  <si>
    <t>11-35#</t>
  </si>
  <si>
    <t>11-38#</t>
  </si>
  <si>
    <t>11-39#</t>
  </si>
  <si>
    <t>11-40#</t>
  </si>
  <si>
    <t>11-43A#</t>
  </si>
  <si>
    <t>11-45#</t>
  </si>
  <si>
    <t>11-46#</t>
  </si>
  <si>
    <t>N地块</t>
  </si>
  <si>
    <r>
      <rPr>
        <sz val="11"/>
        <color theme="1"/>
        <rFont val="宋体"/>
        <family val="3"/>
        <charset val="134"/>
        <scheme val="minor"/>
      </rPr>
      <t>1</t>
    </r>
    <r>
      <rPr>
        <sz val="11"/>
        <color theme="1"/>
        <rFont val="宋体"/>
        <family val="3"/>
        <charset val="134"/>
        <scheme val="minor"/>
      </rPr>
      <t>1-26#</t>
    </r>
  </si>
  <si>
    <r>
      <rPr>
        <sz val="11"/>
        <color theme="1"/>
        <rFont val="宋体"/>
        <family val="3"/>
        <charset val="134"/>
        <scheme val="minor"/>
      </rPr>
      <t>1</t>
    </r>
    <r>
      <rPr>
        <sz val="11"/>
        <color theme="1"/>
        <rFont val="宋体"/>
        <family val="3"/>
        <charset val="134"/>
        <scheme val="minor"/>
      </rPr>
      <t>1-27#</t>
    </r>
  </si>
  <si>
    <t>11-43#</t>
  </si>
  <si>
    <r>
      <rPr>
        <sz val="11"/>
        <color theme="1"/>
        <rFont val="宋体"/>
        <family val="3"/>
        <charset val="134"/>
        <scheme val="minor"/>
      </rPr>
      <t>1</t>
    </r>
    <r>
      <rPr>
        <sz val="11"/>
        <color theme="1"/>
        <rFont val="宋体"/>
        <family val="3"/>
        <charset val="134"/>
        <scheme val="minor"/>
      </rPr>
      <t>2</t>
    </r>
    <r>
      <rPr>
        <sz val="11"/>
        <color theme="1"/>
        <rFont val="宋体"/>
        <family val="3"/>
        <charset val="134"/>
        <scheme val="minor"/>
      </rPr>
      <t>#组团</t>
    </r>
  </si>
  <si>
    <t>12-55#</t>
  </si>
  <si>
    <t>12-56#</t>
  </si>
  <si>
    <t>12-59#</t>
  </si>
  <si>
    <t>12-60#</t>
  </si>
  <si>
    <t>12-61#</t>
  </si>
  <si>
    <t>12-62#</t>
  </si>
  <si>
    <t>12-63#</t>
  </si>
  <si>
    <t>12-63A#</t>
  </si>
  <si>
    <r>
      <rPr>
        <sz val="11"/>
        <color theme="1"/>
        <rFont val="宋体"/>
        <family val="3"/>
        <charset val="134"/>
        <scheme val="minor"/>
      </rPr>
      <t>1</t>
    </r>
    <r>
      <rPr>
        <sz val="11"/>
        <color theme="1"/>
        <rFont val="宋体"/>
        <family val="3"/>
        <charset val="134"/>
        <scheme val="minor"/>
      </rPr>
      <t>3#组团</t>
    </r>
  </si>
  <si>
    <r>
      <rPr>
        <sz val="11"/>
        <color theme="1"/>
        <rFont val="宋体"/>
        <family val="3"/>
        <charset val="134"/>
        <scheme val="minor"/>
      </rPr>
      <t>1</t>
    </r>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7</t>
    </r>
    <r>
      <rPr>
        <sz val="11"/>
        <color theme="1"/>
        <rFont val="宋体"/>
        <family val="3"/>
        <charset val="134"/>
        <scheme val="minor"/>
      </rPr>
      <t>#</t>
    </r>
  </si>
  <si>
    <r>
      <rPr>
        <sz val="11"/>
        <color theme="1"/>
        <rFont val="宋体"/>
        <family val="3"/>
        <charset val="134"/>
        <scheme val="minor"/>
      </rPr>
      <t>1</t>
    </r>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8#</t>
    </r>
  </si>
  <si>
    <r>
      <rPr>
        <sz val="11"/>
        <color theme="1"/>
        <rFont val="宋体"/>
        <family val="3"/>
        <charset val="134"/>
        <scheme val="minor"/>
      </rPr>
      <t>1</t>
    </r>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9#</t>
    </r>
  </si>
  <si>
    <r>
      <rPr>
        <sz val="11"/>
        <color theme="1"/>
        <rFont val="宋体"/>
        <family val="3"/>
        <charset val="134"/>
        <scheme val="minor"/>
      </rPr>
      <t>1</t>
    </r>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10#</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</si>
  <si>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13A#</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</si>
  <si>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21#</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</si>
  <si>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22#</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</si>
  <si>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23#</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</si>
  <si>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27#</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</si>
  <si>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33A#</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</si>
  <si>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35#</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</si>
  <si>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36#</t>
    </r>
  </si>
  <si>
    <r>
      <rPr>
        <sz val="11"/>
        <color theme="1"/>
        <rFont val="宋体"/>
        <family val="3"/>
        <charset val="134"/>
        <scheme val="minor"/>
      </rPr>
      <t>13</t>
    </r>
    <r>
      <rPr>
        <sz val="11"/>
        <color theme="1"/>
        <rFont val="宋体"/>
        <family val="3"/>
        <charset val="134"/>
        <scheme val="minor"/>
      </rPr>
      <t>-</t>
    </r>
    <r>
      <rPr>
        <sz val="11"/>
        <color theme="1"/>
        <rFont val="宋体"/>
        <family val="3"/>
        <charset val="134"/>
        <scheme val="minor"/>
      </rPr>
      <t>40#</t>
    </r>
  </si>
  <si>
    <t>南昌欧风置业有限公司</t>
  </si>
  <si>
    <t>S地块</t>
  </si>
  <si>
    <t>11-36#</t>
  </si>
  <si>
    <t>11-41#</t>
  </si>
  <si>
    <t>11-47#</t>
  </si>
  <si>
    <t>11-48#</t>
  </si>
  <si>
    <t>11-49#</t>
  </si>
  <si>
    <t>11-50#</t>
  </si>
  <si>
    <t>11-51#</t>
  </si>
  <si>
    <t>11-52#</t>
  </si>
  <si>
    <t>11-53#</t>
  </si>
  <si>
    <t>11-53A#</t>
  </si>
  <si>
    <t>11-55#</t>
  </si>
  <si>
    <t>11-56#</t>
  </si>
  <si>
    <t>11-57#</t>
  </si>
  <si>
    <t>11-58#</t>
  </si>
  <si>
    <t>11-59#</t>
  </si>
  <si>
    <t>11-60#</t>
  </si>
  <si>
    <t>11-61#</t>
  </si>
  <si>
    <t>11-62#</t>
  </si>
  <si>
    <t>11-63#</t>
  </si>
  <si>
    <t>11-63A#</t>
  </si>
  <si>
    <t>11-65#</t>
  </si>
  <si>
    <t>规划建筑面积</t>
  </si>
  <si>
    <t>高层住宅</t>
  </si>
  <si>
    <t>高层住宅</t>
    <phoneticPr fontId="142" type="noConversion"/>
  </si>
  <si>
    <t>办公</t>
    <phoneticPr fontId="142" type="noConversion"/>
  </si>
  <si>
    <t>其他</t>
    <phoneticPr fontId="142" type="noConversion"/>
  </si>
  <si>
    <t>地上</t>
    <phoneticPr fontId="142" type="noConversion"/>
  </si>
  <si>
    <t>地下</t>
    <phoneticPr fontId="142" type="noConversion"/>
  </si>
  <si>
    <t>地下车库</t>
    <phoneticPr fontId="142" type="noConversion"/>
  </si>
  <si>
    <t>别墅住宅</t>
  </si>
  <si>
    <t>别墅住宅</t>
    <phoneticPr fontId="142" type="noConversion"/>
  </si>
  <si>
    <t>NO.</t>
    <phoneticPr fontId="142" type="noConversion"/>
  </si>
  <si>
    <t>土地权所有人</t>
    <phoneticPr fontId="142" type="noConversion"/>
  </si>
  <si>
    <t>土地证编号</t>
    <phoneticPr fontId="142" type="noConversion"/>
  </si>
  <si>
    <t>用地性质</t>
    <phoneticPr fontId="142" type="noConversion"/>
  </si>
  <si>
    <t>地块名称</t>
    <phoneticPr fontId="142" type="noConversion"/>
  </si>
  <si>
    <t>用地面积</t>
    <phoneticPr fontId="142" type="noConversion"/>
  </si>
  <si>
    <t>土地面积</t>
    <phoneticPr fontId="142" type="noConversion"/>
  </si>
  <si>
    <t>用地证</t>
    <phoneticPr fontId="142" type="noConversion"/>
  </si>
  <si>
    <t>工规证</t>
    <phoneticPr fontId="142" type="noConversion"/>
  </si>
  <si>
    <t>施工证</t>
    <phoneticPr fontId="142" type="noConversion"/>
  </si>
  <si>
    <t>预售证</t>
    <phoneticPr fontId="142" type="noConversion"/>
  </si>
  <si>
    <t>居住用地</t>
  </si>
  <si>
    <t>360121201800049-3号/393161.97</t>
    <phoneticPr fontId="142" type="noConversion"/>
  </si>
  <si>
    <t xml:space="preserve">南房预售证第2019-0114/11107.8㎡/9组团1#-3#/84套  </t>
    <phoneticPr fontId="142" type="noConversion"/>
  </si>
  <si>
    <t>南国用（2014）第0026号</t>
  </si>
  <si>
    <t>南国用（2014）第0027号</t>
  </si>
  <si>
    <t xml:space="preserve">360121201900059/9714.36/9组团6#、7#               </t>
    <phoneticPr fontId="142" type="noConversion"/>
  </si>
  <si>
    <t xml:space="preserve">360121201909260101/9714.36㎡/1677.6773万元/9组团6#-7#                                                                                </t>
    <phoneticPr fontId="142" type="noConversion"/>
  </si>
  <si>
    <t xml:space="preserve">  南房预售证第2019-0089/7011㎡/9组团6#-7#/53套                                       南房预售证第2019-0099/11559.1㎡/9组团21#/27#-31#/78套    南房预售证第2019-0117/16244.54㎡/10组团3A#/13A#/136套   </t>
    <phoneticPr fontId="142" type="noConversion"/>
  </si>
  <si>
    <t>南国用（2013）第0039号</t>
  </si>
  <si>
    <t>南国用（2013）第0082号</t>
  </si>
  <si>
    <t>南国用（2013）第0083号</t>
  </si>
  <si>
    <t>360121201800049-2号/69533.68</t>
    <phoneticPr fontId="142" type="noConversion"/>
  </si>
  <si>
    <t>360121201900067/156598.74/9组团剩余楼栋360121201900077/110326.96/10组团1#-3#/3A#/7#/11#/13A#</t>
    <phoneticPr fontId="142" type="noConversion"/>
  </si>
  <si>
    <t>360121201912060101/110326.96㎡/17422万元/10组团1#-3#/3A#/7#/11#/13A#                             360121201910250101/156598.14㎡/15659.814万元/9组团剩余楼栋</t>
    <phoneticPr fontId="142" type="noConversion"/>
  </si>
  <si>
    <t>南房预售证第2019-0095/13659.36㎡/9组团9#-13A#/88套                       南房预售证第2019-0119/7817.16㎡/10组团11#/68套         南房预售证第2019-0124/61140.3㎡/9组团3A#,5#,10组团2#,3#,7#,13#/516套</t>
    <phoneticPr fontId="142" type="noConversion"/>
  </si>
  <si>
    <t>商业用地</t>
  </si>
  <si>
    <t>360121201800049-1号/63133.65</t>
    <phoneticPr fontId="142" type="noConversion"/>
  </si>
  <si>
    <t>360121201800084/45744/1组团1#-5#栋</t>
    <phoneticPr fontId="142" type="noConversion"/>
  </si>
  <si>
    <t>360121201901250101/45744㎡/8616.7546万元/1组团1#-5#栋</t>
    <phoneticPr fontId="142" type="noConversion"/>
  </si>
  <si>
    <t>360121201800050号/52933.6</t>
    <phoneticPr fontId="142" type="noConversion"/>
  </si>
  <si>
    <t>商服用地</t>
  </si>
  <si>
    <t>360121201900012号/11029.4/4组团1#-8#栋</t>
    <phoneticPr fontId="142" type="noConversion"/>
  </si>
  <si>
    <t>360121201905280401/11029.4㎡/2323.86万元/4组团1#-8#栋</t>
    <phoneticPr fontId="142" type="noConversion"/>
  </si>
  <si>
    <t>赣（2019）南昌县不动产权第0018961号</t>
    <phoneticPr fontId="142" type="noConversion"/>
  </si>
  <si>
    <t>风景名胜设施用地</t>
  </si>
  <si>
    <t>360121201900048号/158139</t>
    <phoneticPr fontId="142" type="noConversion"/>
  </si>
  <si>
    <t>360121201900010号/22190.94/8组团1#-12#栋</t>
    <phoneticPr fontId="142" type="noConversion"/>
  </si>
  <si>
    <t>360121201905280101/22190.94㎡/3755.51万元/8组团1#-12#栋</t>
    <phoneticPr fontId="142" type="noConversion"/>
  </si>
  <si>
    <t>赣（2019）南昌县不动产权第0018963号</t>
    <phoneticPr fontId="142" type="noConversion"/>
  </si>
  <si>
    <t>360121201900009号/9562.92/7组团1#-13#栋</t>
    <phoneticPr fontId="142" type="noConversion"/>
  </si>
  <si>
    <t>360121201905280201/9562.92㎡/1906.34万元/7组团1#-13#栋</t>
    <phoneticPr fontId="142" type="noConversion"/>
  </si>
  <si>
    <t>文化娱乐用地</t>
  </si>
  <si>
    <t>360121201900050号/67200</t>
    <phoneticPr fontId="142" type="noConversion"/>
  </si>
  <si>
    <t>360121201900008号/4703.82/6组团1#-17#栋</t>
    <phoneticPr fontId="142" type="noConversion"/>
  </si>
  <si>
    <t>360121201905280301/4703.82㎡/897.64万元/6组团1#-17#栋</t>
    <phoneticPr fontId="142" type="noConversion"/>
  </si>
  <si>
    <t>360121201800048号/42826.88</t>
    <phoneticPr fontId="142" type="noConversion"/>
  </si>
  <si>
    <t>360121201800050号/179374.23</t>
    <phoneticPr fontId="142" type="noConversion"/>
  </si>
  <si>
    <t>360121201800047号/29493.48</t>
    <phoneticPr fontId="142" type="noConversion"/>
  </si>
  <si>
    <t>是否取得规证</t>
    <phoneticPr fontId="142" type="noConversion"/>
  </si>
  <si>
    <t>是</t>
    <phoneticPr fontId="142" type="noConversion"/>
  </si>
  <si>
    <t>江南院子项目合</t>
  </si>
  <si>
    <t>核算</t>
  </si>
  <si>
    <t>合计（m2)</t>
  </si>
  <si>
    <t>高层</t>
    <phoneticPr fontId="142" type="noConversion"/>
  </si>
  <si>
    <t>别墅</t>
    <phoneticPr fontId="142" type="noConversion"/>
  </si>
  <si>
    <t>项目前期开发报建情况</t>
  </si>
  <si>
    <r>
      <t xml:space="preserve">                                                                                                                                                                      </t>
    </r>
    <r>
      <rPr>
        <sz val="10"/>
        <color rgb="FF00B050"/>
        <rFont val="微软雅黑"/>
        <family val="2"/>
        <charset val="134"/>
      </rPr>
      <t>O</t>
    </r>
    <r>
      <rPr>
        <sz val="10"/>
        <color rgb="FF000000"/>
        <rFont val="微软雅黑"/>
        <family val="2"/>
        <charset val="134"/>
      </rPr>
      <t xml:space="preserve"> 完成   </t>
    </r>
    <r>
      <rPr>
        <sz val="10"/>
        <color rgb="FFFF0000"/>
        <rFont val="微软雅黑"/>
        <family val="2"/>
        <charset val="134"/>
      </rPr>
      <t>X</t>
    </r>
    <r>
      <rPr>
        <sz val="10"/>
        <color rgb="FF000000"/>
        <rFont val="微软雅黑"/>
        <family val="2"/>
        <charset val="134"/>
      </rPr>
      <t xml:space="preserve"> 未完成  </t>
    </r>
    <r>
      <rPr>
        <sz val="10"/>
        <color rgb="FF00B0F0"/>
        <rFont val="微软雅黑"/>
        <family val="2"/>
        <charset val="134"/>
      </rPr>
      <t xml:space="preserve"> →</t>
    </r>
    <r>
      <rPr>
        <sz val="10"/>
        <color rgb="FF000000"/>
        <rFont val="微软雅黑"/>
        <family val="2"/>
        <charset val="134"/>
      </rPr>
      <t xml:space="preserve"> 进行中  / 无事项</t>
    </r>
  </si>
  <si>
    <t>商业组团</t>
    <phoneticPr fontId="277" type="noConversion"/>
  </si>
  <si>
    <t>文旅组团</t>
    <phoneticPr fontId="277" type="noConversion"/>
  </si>
  <si>
    <t>住宅部分</t>
  </si>
  <si>
    <t>事项名称</t>
  </si>
  <si>
    <t>1组团</t>
  </si>
  <si>
    <t>2组团</t>
  </si>
  <si>
    <t>3组团</t>
  </si>
  <si>
    <t>4组团</t>
  </si>
  <si>
    <t>5组团</t>
  </si>
  <si>
    <t>6组团</t>
  </si>
  <si>
    <t>7组团</t>
  </si>
  <si>
    <t>8组团</t>
  </si>
  <si>
    <t>9组团</t>
    <phoneticPr fontId="277" type="noConversion"/>
  </si>
  <si>
    <t>10组团</t>
  </si>
  <si>
    <t>11组团</t>
  </si>
  <si>
    <t>12组团</t>
  </si>
  <si>
    <t>规划方案上会</t>
  </si>
  <si>
    <r>
      <t xml:space="preserve"> </t>
    </r>
    <r>
      <rPr>
        <sz val="10"/>
        <color rgb="FF00B050"/>
        <rFont val="微软雅黑"/>
        <family val="2"/>
        <charset val="134"/>
      </rPr>
      <t>O</t>
    </r>
  </si>
  <si>
    <t>8月</t>
    <phoneticPr fontId="277" type="noConversion"/>
  </si>
  <si>
    <t>2020年</t>
    <phoneticPr fontId="277" type="noConversion"/>
  </si>
  <si>
    <t>2021年</t>
    <phoneticPr fontId="277" type="noConversion"/>
  </si>
  <si>
    <t>规划方案回函</t>
  </si>
  <si>
    <t>9月</t>
    <phoneticPr fontId="277" type="noConversion"/>
  </si>
  <si>
    <t>9月</t>
  </si>
  <si>
    <t>土地证</t>
  </si>
  <si>
    <t>O</t>
  </si>
  <si>
    <t>工规证</t>
  </si>
  <si>
    <t>8月</t>
  </si>
  <si>
    <t>10月</t>
    <phoneticPr fontId="277" type="noConversion"/>
  </si>
  <si>
    <t>施工证</t>
  </si>
  <si>
    <t>11月</t>
    <phoneticPr fontId="277" type="noConversion"/>
  </si>
  <si>
    <t>预售证</t>
  </si>
  <si>
    <t>2021年</t>
  </si>
  <si>
    <t>2022年</t>
    <phoneticPr fontId="277" type="noConversion"/>
  </si>
  <si>
    <t>2022年</t>
  </si>
  <si>
    <t>\</t>
  </si>
  <si>
    <t>B地块5栋</t>
    <phoneticPr fontId="277" type="noConversion"/>
  </si>
  <si>
    <t>B地块15栋</t>
    <phoneticPr fontId="277" type="noConversion"/>
  </si>
  <si>
    <t>C地块</t>
    <phoneticPr fontId="277" type="noConversion"/>
  </si>
  <si>
    <t>A地块</t>
    <phoneticPr fontId="277" type="noConversion"/>
  </si>
  <si>
    <t>60.6地块</t>
    <phoneticPr fontId="277" type="noConversion"/>
  </si>
  <si>
    <t>100.8地块</t>
    <phoneticPr fontId="277" type="noConversion"/>
  </si>
  <si>
    <t>D地块</t>
    <phoneticPr fontId="277" type="noConversion"/>
  </si>
  <si>
    <t>E地块</t>
    <phoneticPr fontId="277" type="noConversion"/>
  </si>
  <si>
    <t>F地块15栋G地块4栋 H地块11栋</t>
    <phoneticPr fontId="277" type="noConversion"/>
  </si>
  <si>
    <t>G地块4栋 H地块4栋 Q地块9栋 R地块2栋</t>
    <phoneticPr fontId="277" type="noConversion"/>
  </si>
  <si>
    <t>H地块6栋  Q地块13栋 R地块21栋 N地块3栋  S地块21栋</t>
    <phoneticPr fontId="277" type="noConversion"/>
  </si>
  <si>
    <t xml:space="preserve">F地块5栋 G地块7栋  M地块26栋     I地块7栋  J地块11栋 N地块8栋      </t>
    <phoneticPr fontId="277" type="noConversion"/>
  </si>
  <si>
    <t>成本比率</t>
  </si>
  <si>
    <t>成本法</t>
  </si>
  <si>
    <t>情况3</t>
  </si>
  <si>
    <t>（分摊）土地面积</t>
  </si>
  <si>
    <t>项目局部</t>
  </si>
  <si>
    <t>工程进度</t>
    <phoneticPr fontId="142" type="noConversion"/>
  </si>
  <si>
    <t>北段地下室顶板安装分项工程验收及混凝土浇筑</t>
    <phoneticPr fontId="142" type="noConversion"/>
  </si>
  <si>
    <t>北段防水层分项工程验收</t>
    <phoneticPr fontId="142" type="noConversion"/>
  </si>
  <si>
    <t>北段地下室底板钢筋分项工程验收及混凝土浇筑</t>
    <phoneticPr fontId="142" type="noConversion"/>
  </si>
  <si>
    <t>北段地下室顶板钢筋分项工程验收</t>
    <phoneticPr fontId="142" type="noConversion"/>
  </si>
  <si>
    <t>建字第360121201900008号</t>
    <phoneticPr fontId="142" type="noConversion"/>
  </si>
  <si>
    <t>江南院子100.8亩地块6组团1-17#（共17栋）</t>
    <phoneticPr fontId="142" type="noConversion"/>
  </si>
  <si>
    <t>2#</t>
  </si>
  <si>
    <t>3#</t>
  </si>
  <si>
    <t>4#</t>
  </si>
  <si>
    <t>5#</t>
  </si>
  <si>
    <t>6#</t>
  </si>
  <si>
    <t>7#</t>
  </si>
  <si>
    <t>8#</t>
  </si>
  <si>
    <t>9#</t>
  </si>
  <si>
    <t>10#</t>
  </si>
  <si>
    <t>11#</t>
  </si>
  <si>
    <t>12#</t>
  </si>
  <si>
    <t>13#</t>
  </si>
  <si>
    <t>14#</t>
  </si>
  <si>
    <t>15#</t>
  </si>
  <si>
    <t>16#</t>
  </si>
  <si>
    <t>17#</t>
  </si>
  <si>
    <t>南昌县幽兰镇江陂村境内.</t>
  </si>
  <si>
    <t>商业/办公用地</t>
  </si>
  <si>
    <t>DAJ2019051</t>
  </si>
  <si>
    <t>其他商服用地</t>
  </si>
  <si>
    <t>大于或等于1并且小于1.6</t>
  </si>
  <si>
    <t>2019-12-13</t>
  </si>
  <si>
    <t>赣国土资网交地[2019]AJ031号</t>
  </si>
  <si>
    <t>江西印智农业科技发展有限公司</t>
  </si>
  <si>
    <t>南昌县范围内滨江大道以东F地块.</t>
  </si>
  <si>
    <t>DAJ2019046</t>
  </si>
  <si>
    <t>小于1.8</t>
  </si>
  <si>
    <t>2019-11-29</t>
  </si>
  <si>
    <t>赣国土资网交地[2019]AJ027号</t>
  </si>
  <si>
    <t>南昌县范围内滨江大道以东,昌南大道以南,东祥路以西(E-2)地块.</t>
  </si>
  <si>
    <t>DAJ2019037</t>
  </si>
  <si>
    <t>小于或等于3.5</t>
  </si>
  <si>
    <t>南昌县范围内滨江大道以东,昌南大道以南,东祥路(抚生路)以西(A1-3)地块.</t>
  </si>
  <si>
    <t>DAJ2019039</t>
  </si>
  <si>
    <t>小于或等于2.5</t>
  </si>
  <si>
    <t>南昌县范围内下邓路以西,东江路以南,沿江南大道以东(B3)地块.</t>
  </si>
  <si>
    <t>DAJ2019036</t>
  </si>
  <si>
    <t>小于或等于3.2</t>
  </si>
  <si>
    <t>南昌县南新乡周坊村、中徐村境内.</t>
  </si>
  <si>
    <t>DAJ2019028</t>
  </si>
  <si>
    <t>2019-08-05</t>
  </si>
  <si>
    <t>南昌县自然资源局(南昌县土地交易中心)国有土地使用权拍卖出让公告(赣国土资网交地[2019]AJ016号)</t>
  </si>
  <si>
    <t>南昌市政公用生态农业有限公司</t>
  </si>
  <si>
    <t>1星</t>
  </si>
  <si>
    <t>DAJ2019026</t>
  </si>
  <si>
    <t>DAJ2019027</t>
  </si>
  <si>
    <t>南昌县范围内滨江大道以东,鲁班路以北.</t>
  </si>
  <si>
    <t>DAJ2019025</t>
  </si>
  <si>
    <t>小于或等于4.8</t>
  </si>
  <si>
    <t>江西煊辉置业有限公司</t>
  </si>
  <si>
    <t>DAJ2019024</t>
  </si>
  <si>
    <t>南昌县范围内东祥路以东,象湖二路以北,东岳大道以南.</t>
  </si>
  <si>
    <t>DAJ2018033</t>
  </si>
  <si>
    <t>2018-10-10</t>
  </si>
  <si>
    <t>赣国土资网交地[2018]AJ016号</t>
  </si>
  <si>
    <t>江西省南晟实业有限公司</t>
  </si>
  <si>
    <t>南昌县范围内莲溪路以西、江铃公租房以北地块.</t>
  </si>
  <si>
    <t>DAJ2018031</t>
  </si>
  <si>
    <t>小于0.6</t>
  </si>
  <si>
    <t>南昌县心诚房地产开发有限公司</t>
  </si>
  <si>
    <t>南昌县范围内莲河路以西2#地块.</t>
  </si>
  <si>
    <t>DAJ2018020</t>
  </si>
  <si>
    <t>江西润永通地产置业有限公司2</t>
  </si>
  <si>
    <t>南昌县范围内莲河路以西3#地块.</t>
  </si>
  <si>
    <t>DAJ2018021</t>
  </si>
  <si>
    <t>江西润永通地产置业有限公司3</t>
  </si>
  <si>
    <t>南昌县范围内鲁班路以南,杜鹃花路以东.</t>
  </si>
  <si>
    <t>DAJ2017070</t>
  </si>
  <si>
    <t>商务设施用地</t>
  </si>
  <si>
    <t>小于或等于3.8</t>
  </si>
  <si>
    <t>2018-01-19</t>
  </si>
  <si>
    <t>赣国土资网交地[2017]AJ029号</t>
  </si>
  <si>
    <t>南昌县范围内银三角大道以东,总干渠以西.</t>
  </si>
  <si>
    <t>DAJ2017061</t>
  </si>
  <si>
    <t>小于或等于1</t>
  </si>
  <si>
    <t>2017-12-13</t>
  </si>
  <si>
    <t>赣国土资网交地[2017]AJ024号</t>
  </si>
  <si>
    <t>江西小马文化旅游发展有限公司</t>
  </si>
  <si>
    <t>土地比较法-住宅</t>
  </si>
  <si>
    <t>办公用地容积率地面地价修正系数表</t>
  </si>
  <si>
    <t>修正系数</t>
  </si>
  <si>
    <t>办公用地容积率地面地价修正系数</t>
    <phoneticPr fontId="3" type="noConversion"/>
  </si>
  <si>
    <t>地面单价</t>
    <phoneticPr fontId="3" type="noConversion"/>
  </si>
  <si>
    <t>修正后地面单价</t>
    <phoneticPr fontId="3" type="noConversion"/>
  </si>
  <si>
    <t>修正后楼面单价</t>
    <phoneticPr fontId="3" type="noConversion"/>
  </si>
  <si>
    <t>南昌县范围内东莲路以南,滨江大道以东,杜鹃花路以西C地块.</t>
  </si>
  <si>
    <t>小于2.1</t>
  </si>
  <si>
    <t>2017-02-06</t>
  </si>
  <si>
    <t>南昌县范围内东莲路以南,杜鹃花路以东,抚生西路以西D地块.</t>
  </si>
  <si>
    <t>南昌县范围内滨江大道以东,昌南大道以南,抚生路以西A1-1地块DAJ2016046号宗地.</t>
  </si>
  <si>
    <t>≤2.5</t>
  </si>
  <si>
    <t>2017-01-11</t>
  </si>
  <si>
    <t>洪城大市场股份有限公司</t>
  </si>
  <si>
    <t>南昌县范围内滨江大道以东,昌南大道以南,抚生路以西A2-1地块DAJ2016047号宗地.</t>
  </si>
  <si>
    <t>南昌县范围内滨江大道以东,昌南大道以南,抚生路以西B1-1地块DAJ2016044号宗地.</t>
  </si>
  <si>
    <t>≤3.2</t>
  </si>
  <si>
    <t>楼面地价</t>
  </si>
  <si>
    <t>土地比较法-商业</t>
  </si>
  <si>
    <t>10-1#</t>
    <phoneticPr fontId="142" type="noConversion"/>
  </si>
  <si>
    <t>10-3A#</t>
    <phoneticPr fontId="142" type="noConversion"/>
  </si>
  <si>
    <t>10-7#</t>
    <phoneticPr fontId="142" type="noConversion"/>
  </si>
  <si>
    <t>10-11#</t>
    <phoneticPr fontId="142" type="noConversion"/>
  </si>
  <si>
    <t>10-13#</t>
    <phoneticPr fontId="142" type="noConversion"/>
  </si>
  <si>
    <t>10-13A#</t>
    <phoneticPr fontId="142" type="noConversion"/>
  </si>
  <si>
    <t>10组团一期地下室</t>
    <phoneticPr fontId="142" type="noConversion"/>
  </si>
  <si>
    <t>物业管理</t>
    <phoneticPr fontId="142" type="noConversion"/>
  </si>
  <si>
    <t>社区用房</t>
    <phoneticPr fontId="142" type="noConversion"/>
  </si>
  <si>
    <t>架空</t>
    <phoneticPr fontId="142" type="noConversion"/>
  </si>
  <si>
    <t>物业管理、社区用房</t>
    <phoneticPr fontId="142" type="noConversion"/>
  </si>
  <si>
    <t>物业管理、社区用房、消防控制室</t>
    <phoneticPr fontId="142" type="noConversion"/>
  </si>
  <si>
    <t>建字第360121201900077号</t>
    <phoneticPr fontId="142" type="noConversion"/>
  </si>
  <si>
    <t>江南院子10组团1-3#、3A#、7#、11#、13#、13A#及仪器地下室（共8栋）</t>
    <phoneticPr fontId="142" type="noConversion"/>
  </si>
  <si>
    <t>60.6亩</t>
    <phoneticPr fontId="142" type="noConversion"/>
  </si>
  <si>
    <t>组团</t>
    <phoneticPr fontId="142" type="noConversion"/>
  </si>
  <si>
    <t>9组团</t>
    <phoneticPr fontId="142" type="noConversion"/>
  </si>
  <si>
    <t>3组团</t>
    <phoneticPr fontId="142" type="noConversion"/>
  </si>
  <si>
    <t>4组团</t>
    <phoneticPr fontId="142" type="noConversion"/>
  </si>
  <si>
    <t>100.8亩</t>
    <phoneticPr fontId="142" type="noConversion"/>
  </si>
  <si>
    <t>6组团</t>
    <phoneticPr fontId="142" type="noConversion"/>
  </si>
  <si>
    <t>8组团</t>
    <phoneticPr fontId="142" type="noConversion"/>
  </si>
  <si>
    <t>7组团</t>
    <phoneticPr fontId="142" type="noConversion"/>
  </si>
  <si>
    <t>5组团</t>
    <phoneticPr fontId="142" type="noConversion"/>
  </si>
  <si>
    <t>已解押楼栋</t>
    <phoneticPr fontId="142" type="noConversion"/>
  </si>
  <si>
    <t>对应预售证</t>
    <phoneticPr fontId="142" type="noConversion"/>
  </si>
  <si>
    <t>取得时间</t>
    <phoneticPr fontId="142" type="noConversion"/>
  </si>
  <si>
    <t>住宅预售面积/㎡</t>
    <phoneticPr fontId="142" type="noConversion"/>
  </si>
  <si>
    <t>商业预售面积/㎡</t>
    <phoneticPr fontId="142" type="noConversion"/>
  </si>
  <si>
    <t>房屋套数</t>
    <phoneticPr fontId="142" type="noConversion"/>
  </si>
  <si>
    <t>2019-0114</t>
    <phoneticPr fontId="142" type="noConversion"/>
  </si>
  <si>
    <t>3A#</t>
    <phoneticPr fontId="142" type="noConversion"/>
  </si>
  <si>
    <t>2019-0124</t>
    <phoneticPr fontId="142" type="noConversion"/>
  </si>
  <si>
    <t>2019-0089</t>
    <phoneticPr fontId="142" type="noConversion"/>
  </si>
  <si>
    <t>2019-0095</t>
    <phoneticPr fontId="142" type="noConversion"/>
  </si>
  <si>
    <t>13A#</t>
    <phoneticPr fontId="142" type="noConversion"/>
  </si>
  <si>
    <t>18#</t>
  </si>
  <si>
    <t>19#</t>
  </si>
  <si>
    <t>20#</t>
  </si>
  <si>
    <t>21#</t>
  </si>
  <si>
    <t>2019-0099</t>
    <phoneticPr fontId="142" type="noConversion"/>
  </si>
  <si>
    <t>22#</t>
  </si>
  <si>
    <t>23#</t>
  </si>
  <si>
    <t>23A#</t>
    <phoneticPr fontId="142" type="noConversion"/>
  </si>
  <si>
    <t>25#</t>
  </si>
  <si>
    <t>26#</t>
  </si>
  <si>
    <t>27#</t>
  </si>
  <si>
    <t>28#</t>
  </si>
  <si>
    <t>29#</t>
  </si>
  <si>
    <t>30#</t>
  </si>
  <si>
    <t>31#</t>
  </si>
  <si>
    <t>32#</t>
  </si>
  <si>
    <t>33#</t>
  </si>
  <si>
    <t>128+17</t>
    <phoneticPr fontId="142" type="noConversion"/>
  </si>
  <si>
    <t>128+18</t>
    <phoneticPr fontId="142" type="noConversion"/>
  </si>
  <si>
    <t>2019-0117</t>
    <phoneticPr fontId="142" type="noConversion"/>
  </si>
  <si>
    <t>7#</t>
    <phoneticPr fontId="142" type="noConversion"/>
  </si>
  <si>
    <t>2019-0124</t>
  </si>
  <si>
    <t>136+14</t>
    <phoneticPr fontId="142" type="noConversion"/>
  </si>
  <si>
    <t>11#</t>
    <phoneticPr fontId="142" type="noConversion"/>
  </si>
  <si>
    <t>2019-0119</t>
    <phoneticPr fontId="142" type="noConversion"/>
  </si>
  <si>
    <t>13#</t>
    <phoneticPr fontId="142" type="noConversion"/>
  </si>
  <si>
    <t>68+14</t>
    <phoneticPr fontId="142" type="noConversion"/>
  </si>
  <si>
    <t>68+8</t>
    <phoneticPr fontId="142" type="noConversion"/>
  </si>
  <si>
    <t>对应地块</t>
    <phoneticPr fontId="142" type="noConversion"/>
  </si>
  <si>
    <t>总体</t>
    <phoneticPr fontId="142" type="noConversion"/>
  </si>
  <si>
    <t>其中：已取得预售证</t>
    <phoneticPr fontId="142" type="noConversion"/>
  </si>
  <si>
    <t>暂未取得预售证</t>
    <phoneticPr fontId="142" type="noConversion"/>
  </si>
  <si>
    <t>预售面积</t>
    <phoneticPr fontId="142" type="noConversion"/>
  </si>
  <si>
    <t>预计总楼栋</t>
    <phoneticPr fontId="142" type="noConversion"/>
  </si>
  <si>
    <t>预计总货值</t>
    <phoneticPr fontId="142" type="noConversion"/>
  </si>
  <si>
    <t>楼栋</t>
    <phoneticPr fontId="142" type="noConversion"/>
  </si>
  <si>
    <t>货值</t>
    <phoneticPr fontId="142" type="noConversion"/>
  </si>
  <si>
    <t>F地块</t>
    <phoneticPr fontId="142" type="noConversion"/>
  </si>
  <si>
    <t>G地块</t>
    <phoneticPr fontId="142" type="noConversion"/>
  </si>
  <si>
    <t>H地块</t>
    <phoneticPr fontId="142" type="noConversion"/>
  </si>
  <si>
    <t>以上情况更新至20200320</t>
    <phoneticPr fontId="142" type="noConversion"/>
  </si>
  <si>
    <t xml:space="preserve"> </t>
    <phoneticPr fontId="277" type="noConversion"/>
  </si>
  <si>
    <t>建字第360121201900012号</t>
    <phoneticPr fontId="142" type="noConversion"/>
  </si>
  <si>
    <t>江南院子A地块4组团1-8#（共8栋）</t>
    <phoneticPr fontId="142" type="noConversion"/>
  </si>
  <si>
    <t>4-1#</t>
    <phoneticPr fontId="142" type="noConversion"/>
  </si>
  <si>
    <t>4-8#</t>
  </si>
  <si>
    <t>建字第360121201900009号</t>
    <phoneticPr fontId="142" type="noConversion"/>
  </si>
  <si>
    <t>江南院子D地块7组团1-13#（共13栋）</t>
    <phoneticPr fontId="142" type="noConversion"/>
  </si>
  <si>
    <t>建字第360121201900010号</t>
    <phoneticPr fontId="142" type="noConversion"/>
  </si>
  <si>
    <t>江南院子E地块8组团1-12#（共12栋）</t>
    <phoneticPr fontId="142" type="noConversion"/>
  </si>
  <si>
    <t>二层梁板已完成</t>
    <phoneticPr fontId="142" type="noConversion"/>
  </si>
  <si>
    <t>四层梁板已完成</t>
    <phoneticPr fontId="142" type="noConversion"/>
  </si>
  <si>
    <t>二层梁板及店铺已完成</t>
    <phoneticPr fontId="142" type="noConversion"/>
  </si>
  <si>
    <t>五层梁板已完成</t>
    <phoneticPr fontId="142" type="noConversion"/>
  </si>
  <si>
    <t>1组团</t>
    <phoneticPr fontId="142" type="noConversion"/>
  </si>
  <si>
    <t>2组团</t>
    <phoneticPr fontId="142" type="noConversion"/>
  </si>
  <si>
    <t>土地</t>
    <phoneticPr fontId="3" type="noConversion"/>
  </si>
  <si>
    <t>在建</t>
    <phoneticPr fontId="3" type="noConversion"/>
  </si>
  <si>
    <t>地下</t>
  </si>
  <si>
    <t>仓储</t>
  </si>
  <si>
    <t>住宅地块-商业</t>
  </si>
  <si>
    <t>住宅地块-商业</t>
    <phoneticPr fontId="7" type="noConversion"/>
  </si>
  <si>
    <t>否</t>
  </si>
  <si>
    <t>地下仓储</t>
  </si>
  <si>
    <t>地下仓储</t>
    <phoneticPr fontId="7" type="noConversion"/>
  </si>
  <si>
    <t>建设单位用途为其他/规证用途为商业</t>
    <phoneticPr fontId="142" type="noConversion"/>
  </si>
  <si>
    <t>地下车位面积差异大</t>
    <phoneticPr fontId="142" type="noConversion"/>
  </si>
  <si>
    <t>地上面积差异大</t>
    <phoneticPr fontId="142" type="noConversion"/>
  </si>
  <si>
    <t>其他用房是否包含11组团</t>
    <phoneticPr fontId="142" type="noConversion"/>
  </si>
  <si>
    <t>地上地下面积差异大</t>
    <phoneticPr fontId="142" type="noConversion"/>
  </si>
  <si>
    <t>建设单位中其他用房未加</t>
    <phoneticPr fontId="142" type="noConversion"/>
  </si>
  <si>
    <t>行标签</t>
  </si>
  <si>
    <t>计数项:地块</t>
  </si>
  <si>
    <t>求和项:住宅</t>
  </si>
  <si>
    <t>求和项:商业</t>
  </si>
  <si>
    <t>求和项:公建</t>
  </si>
  <si>
    <t>求和项:其他/不计容</t>
  </si>
  <si>
    <t>求和项:合计</t>
  </si>
  <si>
    <t>100.8亩</t>
  </si>
  <si>
    <t>D</t>
  </si>
  <si>
    <t>E</t>
  </si>
  <si>
    <t>F</t>
  </si>
  <si>
    <t>G</t>
  </si>
  <si>
    <t>H</t>
  </si>
  <si>
    <t>(空白)</t>
  </si>
  <si>
    <t>酒店投资</t>
    <phoneticPr fontId="142" type="noConversion"/>
  </si>
  <si>
    <t>存货</t>
    <phoneticPr fontId="142" type="noConversion"/>
  </si>
  <si>
    <t>欧风置业</t>
    <phoneticPr fontId="142" type="noConversion"/>
  </si>
  <si>
    <t>存货</t>
    <phoneticPr fontId="142" type="noConversion"/>
  </si>
  <si>
    <t>安晟置业</t>
    <phoneticPr fontId="142" type="noConversion"/>
  </si>
  <si>
    <t>存货</t>
    <phoneticPr fontId="142" type="noConversion"/>
  </si>
  <si>
    <t>茵梦湖置业</t>
    <phoneticPr fontId="142" type="noConversion"/>
  </si>
  <si>
    <t>出让金</t>
    <phoneticPr fontId="142" type="noConversion"/>
  </si>
  <si>
    <t>补偿费</t>
    <phoneticPr fontId="142" type="noConversion"/>
  </si>
  <si>
    <t>单价</t>
    <phoneticPr fontId="142" type="noConversion"/>
  </si>
  <si>
    <t>仅含出让金</t>
  </si>
  <si>
    <t>建筑成本</t>
    <phoneticPr fontId="142" type="noConversion"/>
  </si>
  <si>
    <t>商业比例</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</si>
  <si>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</si>
  <si>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</si>
  <si>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</si>
  <si>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独立商业</t>
    <phoneticPr fontId="3" type="noConversion"/>
  </si>
  <si>
    <t>总建安</t>
    <phoneticPr fontId="3" type="noConversion"/>
  </si>
  <si>
    <t>核定资产</t>
  </si>
  <si>
    <t>房地产市场价值</t>
    <phoneticPr fontId="6" type="noConversion"/>
  </si>
  <si>
    <t>已注销及未注销</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</si>
</sst>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color theme="1"/>
      <name val="微软雅黑"/>
      <family val="2"/>
      <charset val="134"/>
    </font>
    <font>
      <sz val="10.5"/>
      <color rgb="FF000000"/>
      <name val="微软雅黑"/>
      <family val="2"/>
      <charset val="134"/>
    </font>
    <font>
      <sz val="9"/>
      <color rgb="FF000000"/>
      <name val="宋体"/>
      <family val="3"/>
      <charset val="134"/>
    </font>
    <font>
      <sz val="11"/>
      <color rgb="FF000000"/>
      <name val="宋体"/>
      <family val="3"/>
      <charset val="134"/>
    </font>
    <font>
      <b/>
      <sz val="11"/>
      <color rgb="FF000000"/>
      <name val="宋体"/>
      <family val="3"/>
      <charset val="134"/>
    </font>
    <font>
      <sz val="9"/>
      <name val="Arial"/>
      <family val="2"/>
    </font>
    <font>
      <sz val="9"/>
      <color indexed="62"/>
      <name val="Arial"/>
      <family val="2"/>
    </font>
    <font>
      <sz val="16"/>
      <color rgb="FF333333"/>
      <name val="Microsoft YaHei"/>
      <family val="2"/>
      <charset val="134"/>
    </font>
    <font>
      <sz val="11"/>
      <color theme="1"/>
      <name val="Microsoft YaHei"/>
      <family val="2"/>
      <charset val="134"/>
    </font>
    <font>
      <sz val="12"/>
      <color rgb="FF000000"/>
      <name val="宋体"/>
      <family val="3"/>
      <charset val="134"/>
      <scheme val="minor"/>
    </font>
    <font>
      <b/>
      <sz val="9"/>
      <color rgb="FF000000"/>
      <name val="宋体"/>
      <family val="3"/>
      <charset val="134"/>
    </font>
    <font>
      <sz val="11"/>
      <color theme="1"/>
      <name val="宋体"/>
      <family val="3"/>
      <charset val="134"/>
      <scheme val="minor"/>
    </font>
    <font>
      <b/>
      <sz val="11"/>
      <color rgb="FFC00000"/>
      <name val="宋体"/>
      <family val="3"/>
      <charset val="134"/>
      <scheme val="minor"/>
    </font>
    <font>
      <sz val="11"/>
      <color rgb="FFC00000"/>
      <name val="宋体"/>
      <family val="3"/>
      <charset val="134"/>
      <scheme val="minor"/>
    </font>
    <font>
      <sz val="11"/>
      <name val="宋体"/>
      <family val="3"/>
      <charset val="134"/>
      <scheme val="minor"/>
    </font>
    <font>
      <b/>
      <sz val="10.5"/>
      <color theme="1"/>
      <name val="微软雅黑"/>
      <family val="2"/>
      <charset val="134"/>
    </font>
    <font>
      <sz val="11"/>
      <color theme="1"/>
      <name val="宋体"/>
      <family val="2"/>
      <charset val="134"/>
      <scheme val="minor"/>
    </font>
    <font>
      <sz val="10.5"/>
      <color rgb="FFFF0000"/>
      <name val="微软雅黑"/>
      <family val="2"/>
      <charset val="134"/>
    </font>
    <font>
      <b/>
      <sz val="10"/>
      <color rgb="FFFFFFFF"/>
      <name val="微软雅黑"/>
      <family val="2"/>
      <charset val="134"/>
    </font>
    <font>
      <sz val="10"/>
      <color rgb="FF000000"/>
      <name val="微软雅黑"/>
      <family val="2"/>
      <charset val="134"/>
    </font>
    <font>
      <sz val="10"/>
      <color rgb="FF00B050"/>
      <name val="微软雅黑"/>
      <family val="2"/>
      <charset val="134"/>
    </font>
    <font>
      <sz val="10"/>
      <color rgb="FFFF0000"/>
      <name val="微软雅黑"/>
      <family val="2"/>
      <charset val="134"/>
    </font>
    <font>
      <sz val="10"/>
      <color rgb="FF00B0F0"/>
      <name val="微软雅黑"/>
      <family val="2"/>
      <charset val="134"/>
    </font>
    <font>
      <b/>
      <sz val="10"/>
      <color rgb="FF000000"/>
      <name val="微软雅黑"/>
      <family val="2"/>
      <charset val="134"/>
    </font>
    <font>
      <sz val="9"/>
      <name val="宋体"/>
      <family val="2"/>
      <charset val="134"/>
      <scheme val="minor"/>
    </font>
    <font>
      <b/>
      <sz val="10"/>
      <color rgb="FF000000"/>
      <name val="宋体"/>
      <family val="3"/>
      <charset val="134"/>
    </font>
    <font>
      <sz val="11"/>
      <color rgb="FF000000"/>
      <name val="宋体"/>
      <family val="3"/>
      <charset val="134"/>
      <scheme val="minor"/>
    </font>
    <font>
      <sz val="11"/>
      <color theme="1"/>
      <name val="宋体"/>
      <family val="3"/>
      <charset val="134"/>
      <scheme val="minor"/>
    </font>
    <font>
      <i/>
      <sz val="11"/>
      <color theme="1"/>
      <name val="宋体"/>
      <family val="3"/>
      <charset val="134"/>
      <scheme val="minor"/>
    </font>
    <font>
      <sz val="12"/>
      <color rgb="FF000000"/>
      <name val="SimSun"/>
      <family val="3"/>
      <charset val="134"/>
    </font>
    <font>
      <sz val="12"/>
      <color rgb="FF000000"/>
      <name val="Arial"/>
      <family val="3"/>
    </font>
  </fonts>
  <fills count="4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0"/>
        <bgColor rgb="FF000000"/>
      </patternFill>
    </fill>
    <fill>
      <patternFill patternType="solid">
        <fgColor theme="0" tint="-0.499984740745262"/>
        <bgColor rgb="FF000000"/>
      </patternFill>
    </fill>
    <fill>
      <patternFill patternType="solid">
        <fgColor theme="6" tint="-0.249977111117893"/>
        <bgColor indexed="64"/>
      </patternFill>
    </fill>
    <fill>
      <patternFill patternType="solid">
        <fgColor theme="4"/>
        <bgColor indexed="64"/>
      </patternFill>
    </fill>
    <fill>
      <patternFill patternType="solid">
        <fgColor theme="5" tint="0.39994506668294322"/>
        <bgColor indexed="64"/>
      </patternFill>
    </fill>
    <fill>
      <patternFill patternType="solid">
        <fgColor theme="2" tint="-0.249977111117893"/>
        <bgColor indexed="64"/>
      </patternFill>
    </fill>
    <fill>
      <patternFill patternType="solid">
        <fgColor theme="6" tint="0.79995117038483843"/>
        <bgColor indexed="64"/>
      </patternFill>
    </fill>
    <fill>
      <patternFill patternType="solid">
        <fgColor theme="6" tint="0.39994506668294322"/>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5"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rgb="FFFFFFFF"/>
        <bgColor rgb="FF000000"/>
      </patternFill>
    </fill>
    <fill>
      <patternFill patternType="solid">
        <fgColor rgb="FFFFC000"/>
        <bgColor indexed="64"/>
      </patternFill>
    </fill>
    <fill>
      <patternFill patternType="solid">
        <fgColor theme="2"/>
        <bgColor indexed="64"/>
      </patternFill>
    </fill>
    <fill>
      <patternFill patternType="solid">
        <fgColor rgb="FFC00000"/>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4" tint="0.79998168889431442"/>
        <bgColor theme="4" tint="0.79998168889431442"/>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style="thin">
        <color indexed="64"/>
      </right>
      <top/>
      <bottom style="double">
        <color indexed="64"/>
      </bottom>
      <diagonal/>
    </border>
    <border>
      <left/>
      <right style="thin">
        <color indexed="64"/>
      </right>
      <top style="double">
        <color indexed="64"/>
      </top>
      <bottom/>
      <diagonal/>
    </border>
    <border>
      <left style="medium">
        <color rgb="FFFFFFFF"/>
      </left>
      <right/>
      <top style="medium">
        <color rgb="FFFFFFFF"/>
      </top>
      <bottom style="thick">
        <color rgb="FFFFFFFF"/>
      </bottom>
      <diagonal/>
    </border>
    <border>
      <left/>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top style="thick">
        <color rgb="FFFFFFFF"/>
      </top>
      <bottom style="medium">
        <color rgb="FFFFFFFF"/>
      </bottom>
      <diagonal/>
    </border>
    <border>
      <left/>
      <right/>
      <top style="thick">
        <color rgb="FFFFFFFF"/>
      </top>
      <bottom style="medium">
        <color rgb="FFFFFFFF"/>
      </bottom>
      <diagonal/>
    </border>
    <border>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diagonal/>
    </border>
    <border>
      <left/>
      <right/>
      <top/>
      <bottom style="thin">
        <color theme="4" tint="0.39997558519241921"/>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64" fillId="0" borderId="0" applyFont="0" applyFill="0" applyBorder="0" applyAlignment="0" applyProtection="0">
      <alignment vertical="center"/>
    </xf>
    <xf numFmtId="0" fontId="269" fillId="0" borderId="0">
      <alignment vertical="center"/>
    </xf>
    <xf numFmtId="176" fontId="169" fillId="0" borderId="0" applyFont="0" applyFill="0" applyBorder="0" applyAlignment="0" applyProtection="0">
      <alignment vertical="center"/>
    </xf>
    <xf numFmtId="9" fontId="280" fillId="0" borderId="0" applyFont="0" applyFill="0" applyBorder="0" applyAlignment="0" applyProtection="0">
      <alignment vertical="center"/>
    </xf>
  </cellStyleXfs>
  <cellXfs count="36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4" fillId="6" borderId="1" xfId="0" applyNumberFormat="1" applyFont="1" applyFill="1" applyBorder="1" applyAlignment="1" applyProtection="1">
      <alignment horizontal="center" vertical="center"/>
    </xf>
    <xf numFmtId="177" fontId="104"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0"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4"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2"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4"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5"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5" fontId="125" fillId="0" borderId="1" xfId="5" applyNumberFormat="1" applyFont="1" applyFill="1" applyBorder="1" applyAlignment="1">
      <alignment horizontal="right" vertical="center"/>
    </xf>
    <xf numFmtId="14" fontId="98"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5"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4" fillId="0" borderId="1" xfId="5" applyFont="1" applyBorder="1">
      <alignment vertical="center"/>
    </xf>
    <xf numFmtId="185" fontId="134"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80"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8"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7" fontId="107" fillId="12" borderId="124" xfId="9" applyNumberFormat="1" applyFont="1" applyFill="1" applyBorder="1" applyAlignment="1">
      <alignment horizontal="center" vertical="center" wrapText="1"/>
    </xf>
    <xf numFmtId="187"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8" fontId="104" fillId="0" borderId="0" xfId="9" applyNumberFormat="1" applyFont="1">
      <alignment vertical="center"/>
    </xf>
    <xf numFmtId="182" fontId="104" fillId="0" borderId="122" xfId="9" applyNumberFormat="1" applyFont="1" applyBorder="1">
      <alignment vertical="center"/>
    </xf>
    <xf numFmtId="182" fontId="104" fillId="0" borderId="0" xfId="9" applyNumberFormat="1" applyFont="1">
      <alignment vertical="center"/>
    </xf>
    <xf numFmtId="187"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7" fontId="107" fillId="12" borderId="127" xfId="9" applyNumberFormat="1" applyFont="1" applyFill="1" applyBorder="1" applyAlignment="1">
      <alignment horizontal="center" vertical="center" wrapText="1"/>
    </xf>
    <xf numFmtId="187"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8"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7" fontId="107" fillId="12" borderId="133" xfId="9" applyNumberFormat="1" applyFont="1" applyFill="1" applyBorder="1" applyAlignment="1">
      <alignment horizontal="center" vertical="center" wrapText="1"/>
    </xf>
    <xf numFmtId="187" fontId="107" fillId="12" borderId="137" xfId="9" applyNumberFormat="1" applyFont="1" applyFill="1" applyBorder="1" applyAlignment="1">
      <alignment horizontal="center" vertical="center" wrapText="1"/>
    </xf>
    <xf numFmtId="187" fontId="104" fillId="14" borderId="0" xfId="9" applyNumberFormat="1" applyFont="1" applyFill="1" applyAlignment="1">
      <alignment horizontal="center" vertical="center"/>
    </xf>
    <xf numFmtId="187"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8"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9"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9"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1" fontId="104" fillId="0" borderId="0" xfId="9" applyNumberFormat="1" applyFont="1" applyAlignment="1">
      <alignment horizontal="center" vertical="center"/>
    </xf>
    <xf numFmtId="181" fontId="104" fillId="0" borderId="122" xfId="9" applyNumberFormat="1" applyFont="1" applyBorder="1" applyAlignment="1">
      <alignment horizontal="center" vertical="center"/>
    </xf>
    <xf numFmtId="178"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8"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1" fontId="104" fillId="5" borderId="0" xfId="9" applyNumberFormat="1" applyFont="1" applyFill="1" applyAlignment="1">
      <alignment horizontal="center" vertical="center"/>
    </xf>
    <xf numFmtId="0" fontId="104" fillId="5" borderId="122" xfId="9" applyFont="1" applyFill="1" applyBorder="1">
      <alignment vertical="center"/>
    </xf>
    <xf numFmtId="179"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1" fontId="119" fillId="0" borderId="0" xfId="9" applyNumberFormat="1" applyFont="1" applyAlignment="1">
      <alignment horizontal="center" vertical="center"/>
    </xf>
    <xf numFmtId="181"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5"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7" fontId="104" fillId="6" borderId="1" xfId="8" applyNumberFormat="1" applyFont="1" applyFill="1" applyBorder="1" applyAlignment="1" applyProtection="1">
      <alignment horizontal="center" vertical="center"/>
    </xf>
    <xf numFmtId="178" fontId="119" fillId="6" borderId="1" xfId="8" applyNumberFormat="1" applyFont="1" applyFill="1" applyBorder="1" applyAlignment="1" applyProtection="1">
      <alignment horizontal="center" vertical="center"/>
    </xf>
    <xf numFmtId="188"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7"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8"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7" fontId="152"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4"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7"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5"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7"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3"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5" fillId="0" borderId="5" xfId="5" applyFont="1" applyBorder="1" applyAlignment="1">
      <alignment horizontal="right" vertical="center"/>
    </xf>
    <xf numFmtId="193"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8"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8"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88" fontId="104" fillId="6" borderId="1" xfId="0" applyNumberFormat="1" applyFont="1" applyFill="1" applyBorder="1" applyAlignment="1" applyProtection="1">
      <alignment horizontal="center" vertical="center"/>
    </xf>
    <xf numFmtId="178" fontId="119" fillId="6" borderId="1" xfId="0" applyNumberFormat="1" applyFont="1" applyFill="1" applyBorder="1" applyAlignment="1" applyProtection="1">
      <alignment horizontal="center" vertical="center"/>
    </xf>
    <xf numFmtId="188" fontId="119" fillId="6" borderId="1" xfId="0" applyNumberFormat="1" applyFont="1" applyFill="1" applyBorder="1" applyAlignment="1" applyProtection="1">
      <alignment horizontal="center" vertical="center" wrapText="1"/>
    </xf>
    <xf numFmtId="187" fontId="104" fillId="6" borderId="2" xfId="0" applyNumberFormat="1" applyFont="1" applyFill="1" applyBorder="1" applyAlignment="1" applyProtection="1">
      <alignment horizontal="center" vertical="center" wrapText="1"/>
    </xf>
    <xf numFmtId="180"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3" fontId="125" fillId="0" borderId="1" xfId="5" applyNumberFormat="1" applyFont="1" applyFill="1" applyBorder="1" applyAlignment="1">
      <alignment horizontal="right" vertical="center"/>
    </xf>
    <xf numFmtId="182"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7" fontId="107" fillId="12" borderId="124" xfId="9" applyNumberFormat="1" applyFont="1" applyFill="1" applyBorder="1" applyAlignment="1" applyProtection="1">
      <alignment horizontal="center" vertical="center" wrapText="1"/>
    </xf>
    <xf numFmtId="187" fontId="107"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4" fillId="6" borderId="23" xfId="0" applyFont="1" applyFill="1" applyBorder="1" applyAlignment="1" applyProtection="1">
      <alignment horizontal="center" vertical="center"/>
    </xf>
    <xf numFmtId="0" fontId="98" fillId="0" borderId="0" xfId="0" applyFont="1">
      <alignment vertical="center"/>
    </xf>
    <xf numFmtId="0" fontId="253" fillId="7" borderId="0" xfId="0" applyFont="1" applyFill="1" applyAlignment="1">
      <alignment horizontal="left" vertical="top" wrapText="1"/>
    </xf>
    <xf numFmtId="0" fontId="253" fillId="7" borderId="0" xfId="0" applyFont="1" applyFill="1" applyAlignment="1">
      <alignment horizontal="right" vertical="top" wrapText="1"/>
    </xf>
    <xf numFmtId="0" fontId="253" fillId="7" borderId="0" xfId="0" applyFont="1" applyFill="1" applyBorder="1" applyAlignment="1">
      <alignment horizontal="left" vertical="top" wrapText="1"/>
    </xf>
    <xf numFmtId="0" fontId="253" fillId="7" borderId="0" xfId="0" applyFont="1" applyFill="1" applyBorder="1" applyAlignment="1">
      <alignment horizontal="right" vertical="top" wrapText="1"/>
    </xf>
    <xf numFmtId="14" fontId="253" fillId="7" borderId="0" xfId="0" applyNumberFormat="1" applyFont="1" applyFill="1" applyBorder="1" applyAlignment="1">
      <alignment horizontal="left" vertical="top" wrapText="1"/>
    </xf>
    <xf numFmtId="0" fontId="253" fillId="17" borderId="47" xfId="0" applyFont="1" applyFill="1" applyBorder="1" applyAlignment="1">
      <alignment horizontal="left" vertical="top" wrapText="1"/>
    </xf>
    <xf numFmtId="0" fontId="253" fillId="17" borderId="47" xfId="0" applyFont="1" applyFill="1" applyBorder="1" applyAlignment="1">
      <alignment horizontal="right" vertical="top" wrapText="1"/>
    </xf>
    <xf numFmtId="0" fontId="253" fillId="18" borderId="0" xfId="0" applyFont="1" applyFill="1" applyBorder="1" applyAlignment="1">
      <alignment horizontal="left" vertical="top" wrapText="1"/>
    </xf>
    <xf numFmtId="0" fontId="253" fillId="18" borderId="0" xfId="0" applyFont="1" applyFill="1" applyBorder="1" applyAlignment="1">
      <alignment horizontal="right" vertical="top" wrapText="1"/>
    </xf>
    <xf numFmtId="0" fontId="253" fillId="17" borderId="87" xfId="0" applyFont="1" applyFill="1" applyBorder="1" applyAlignment="1">
      <alignment horizontal="left" vertical="top" wrapText="1"/>
    </xf>
    <xf numFmtId="0" fontId="82" fillId="0" borderId="156" xfId="0" applyFont="1" applyBorder="1" applyAlignment="1" applyProtection="1">
      <alignment horizontal="center" vertical="top" wrapText="1"/>
      <protection locked="0"/>
    </xf>
    <xf numFmtId="0" fontId="82" fillId="0" borderId="158" xfId="0" applyFont="1" applyBorder="1" applyAlignment="1" applyProtection="1">
      <alignment horizontal="center" vertical="top" wrapText="1"/>
      <protection locked="0"/>
    </xf>
    <xf numFmtId="0" fontId="82" fillId="0" borderId="157" xfId="0" applyFont="1" applyBorder="1" applyAlignment="1" applyProtection="1">
      <alignment horizontal="center" vertical="top" wrapText="1"/>
      <protection locked="0"/>
    </xf>
    <xf numFmtId="0" fontId="79" fillId="0" borderId="157" xfId="0" applyFont="1" applyBorder="1" applyAlignment="1" applyProtection="1">
      <alignment horizontal="center" vertical="top" wrapText="1"/>
      <protection locked="0"/>
    </xf>
    <xf numFmtId="10" fontId="50" fillId="6" borderId="0" xfId="0" applyNumberFormat="1" applyFont="1" applyFill="1" applyAlignment="1" applyProtection="1">
      <alignment vertical="center"/>
      <protection locked="0"/>
    </xf>
    <xf numFmtId="182" fontId="239" fillId="6" borderId="0" xfId="0" applyNumberFormat="1" applyFont="1" applyFill="1" applyAlignment="1" applyProtection="1">
      <alignment horizontal="left" vertical="center" wrapText="1"/>
      <protection locked="0"/>
    </xf>
    <xf numFmtId="0" fontId="3" fillId="6" borderId="0" xfId="0" applyFont="1" applyFill="1" applyAlignment="1" applyProtection="1">
      <alignment horizontal="left" vertical="center"/>
      <protection locked="0"/>
    </xf>
    <xf numFmtId="182" fontId="58" fillId="6" borderId="0" xfId="0" applyNumberFormat="1" applyFont="1" applyFill="1" applyAlignment="1" applyProtection="1">
      <alignment horizontal="left" vertical="center" wrapText="1"/>
      <protection locked="0"/>
    </xf>
    <xf numFmtId="0" fontId="258" fillId="6" borderId="0" xfId="0" applyFont="1" applyFill="1" applyAlignment="1" applyProtection="1">
      <alignment horizontal="left" vertical="center"/>
      <protection locked="0"/>
    </xf>
    <xf numFmtId="0" fontId="58" fillId="6" borderId="0" xfId="0" applyFont="1" applyFill="1" applyAlignment="1" applyProtection="1">
      <alignment horizontal="left" vertical="center"/>
      <protection locked="0"/>
    </xf>
    <xf numFmtId="0" fontId="239" fillId="6" borderId="0" xfId="0" applyFont="1" applyFill="1" applyAlignment="1" applyProtection="1">
      <alignment horizontal="left" vertical="center"/>
      <protection locked="0"/>
    </xf>
    <xf numFmtId="0" fontId="259" fillId="6" borderId="0" xfId="0" applyFont="1" applyFill="1" applyAlignment="1" applyProtection="1">
      <alignment horizontal="left" vertical="center"/>
      <protection locked="0"/>
    </xf>
    <xf numFmtId="2" fontId="258" fillId="6" borderId="0" xfId="0" applyNumberFormat="1" applyFont="1" applyFill="1" applyAlignment="1" applyProtection="1">
      <alignment horizontal="left" vertical="center"/>
      <protection locked="0"/>
    </xf>
    <xf numFmtId="0" fontId="0" fillId="19" borderId="0" xfId="0" applyFill="1" applyAlignment="1"/>
    <xf numFmtId="0" fontId="98" fillId="0" borderId="0" xfId="0" applyFont="1" applyAlignment="1"/>
    <xf numFmtId="0" fontId="0" fillId="0" borderId="0" xfId="0" applyFont="1" applyAlignment="1"/>
    <xf numFmtId="0" fontId="260" fillId="0" borderId="0" xfId="0" applyFont="1">
      <alignment vertical="center"/>
    </xf>
    <xf numFmtId="0" fontId="261" fillId="0" borderId="0" xfId="0" applyFont="1">
      <alignment vertical="center"/>
    </xf>
    <xf numFmtId="0" fontId="0" fillId="0" borderId="0" xfId="0" applyFill="1" applyAlignment="1"/>
    <xf numFmtId="0" fontId="253" fillId="17" borderId="87" xfId="0" applyFont="1" applyFill="1" applyBorder="1" applyAlignment="1">
      <alignment horizontal="right" vertical="top" wrapText="1"/>
    </xf>
    <xf numFmtId="178" fontId="253" fillId="7" borderId="0" xfId="0" applyNumberFormat="1" applyFont="1" applyFill="1" applyBorder="1" applyAlignment="1">
      <alignment horizontal="right" vertical="top" wrapText="1"/>
    </xf>
    <xf numFmtId="178" fontId="253" fillId="18" borderId="0" xfId="0" applyNumberFormat="1" applyFont="1" applyFill="1" applyBorder="1" applyAlignment="1">
      <alignment horizontal="right" vertical="top" wrapText="1"/>
    </xf>
    <xf numFmtId="0" fontId="254" fillId="20" borderId="0" xfId="0" applyFont="1" applyFill="1" applyAlignment="1">
      <alignment horizontal="left" vertical="top" wrapText="1"/>
    </xf>
    <xf numFmtId="0" fontId="254" fillId="20" borderId="0" xfId="0" applyFont="1" applyFill="1" applyAlignment="1">
      <alignment horizontal="right" vertical="top" wrapText="1"/>
    </xf>
    <xf numFmtId="178" fontId="254" fillId="20" borderId="0" xfId="0" applyNumberFormat="1" applyFont="1" applyFill="1" applyAlignment="1">
      <alignment horizontal="right" vertical="top" wrapText="1"/>
    </xf>
    <xf numFmtId="0" fontId="253" fillId="7" borderId="0" xfId="0" applyFont="1" applyFill="1" applyAlignment="1">
      <alignment vertical="top" wrapText="1"/>
    </xf>
    <xf numFmtId="0" fontId="253" fillId="7" borderId="0" xfId="0" applyNumberFormat="1" applyFont="1" applyFill="1" applyAlignment="1">
      <alignment vertical="top" wrapText="1"/>
    </xf>
    <xf numFmtId="0" fontId="253" fillId="17" borderId="87" xfId="0" applyFont="1" applyFill="1" applyBorder="1" applyAlignment="1">
      <alignment vertical="top" wrapText="1"/>
    </xf>
    <xf numFmtId="0" fontId="253" fillId="17" borderId="87" xfId="0" applyNumberFormat="1" applyFont="1" applyFill="1" applyBorder="1" applyAlignment="1">
      <alignment vertical="top" wrapText="1"/>
    </xf>
    <xf numFmtId="0" fontId="253" fillId="7" borderId="0" xfId="0" applyFont="1" applyFill="1" applyBorder="1" applyAlignment="1">
      <alignment vertical="top" wrapText="1"/>
    </xf>
    <xf numFmtId="0" fontId="253" fillId="7" borderId="0" xfId="0" applyNumberFormat="1" applyFont="1" applyFill="1" applyBorder="1" applyAlignment="1">
      <alignment vertical="top" wrapText="1"/>
    </xf>
    <xf numFmtId="0" fontId="254" fillId="20" borderId="0" xfId="0" applyFont="1" applyFill="1" applyAlignment="1">
      <alignment vertical="top" wrapText="1"/>
    </xf>
    <xf numFmtId="0" fontId="254" fillId="20" borderId="0" xfId="0" applyNumberFormat="1" applyFont="1" applyFill="1" applyAlignment="1">
      <alignment vertical="top" wrapText="1"/>
    </xf>
    <xf numFmtId="0" fontId="253" fillId="17" borderId="0" xfId="0" applyFont="1" applyFill="1" applyBorder="1" applyAlignment="1">
      <alignment vertical="top" wrapText="1"/>
    </xf>
    <xf numFmtId="0" fontId="253" fillId="17" borderId="0" xfId="0" applyFont="1" applyFill="1" applyAlignment="1">
      <alignment vertical="top" wrapText="1"/>
    </xf>
    <xf numFmtId="0" fontId="254" fillId="21" borderId="0" xfId="0" applyFont="1" applyFill="1" applyAlignment="1">
      <alignment vertical="top" wrapText="1"/>
    </xf>
    <xf numFmtId="0" fontId="253" fillId="7" borderId="83" xfId="0" applyFont="1" applyFill="1" applyBorder="1" applyAlignment="1">
      <alignment horizontal="left" vertical="top" wrapText="1"/>
    </xf>
    <xf numFmtId="0" fontId="253" fillId="7" borderId="0" xfId="0" applyFont="1" applyFill="1" applyBorder="1" applyAlignment="1">
      <alignment horizontal="left" vertical="top" wrapText="1"/>
    </xf>
    <xf numFmtId="0" fontId="253" fillId="7" borderId="0" xfId="0" applyFont="1" applyFill="1" applyBorder="1" applyAlignment="1">
      <alignment horizontal="left" vertical="top" wrapText="1"/>
    </xf>
    <xf numFmtId="0" fontId="0" fillId="22" borderId="160" xfId="0" applyFill="1" applyBorder="1" applyAlignment="1">
      <alignment horizontal="center" vertical="center"/>
    </xf>
    <xf numFmtId="0" fontId="0" fillId="24" borderId="160" xfId="0" applyFill="1" applyBorder="1" applyAlignment="1">
      <alignment horizontal="center" vertical="center"/>
    </xf>
    <xf numFmtId="0" fontId="98" fillId="24" borderId="160" xfId="0" applyFont="1" applyFill="1" applyBorder="1" applyAlignment="1">
      <alignment horizontal="center" vertical="center"/>
    </xf>
    <xf numFmtId="0" fontId="98" fillId="0" borderId="160" xfId="0" applyFont="1" applyBorder="1" applyAlignment="1">
      <alignment horizontal="center" vertical="center"/>
    </xf>
    <xf numFmtId="0" fontId="0" fillId="0" borderId="160" xfId="0" applyBorder="1" applyAlignment="1">
      <alignment horizontal="center" vertical="center"/>
    </xf>
    <xf numFmtId="180" fontId="0" fillId="7" borderId="162" xfId="0" applyNumberFormat="1" applyFill="1" applyBorder="1" applyAlignment="1">
      <alignment horizontal="center" vertical="center"/>
    </xf>
    <xf numFmtId="180" fontId="0" fillId="7" borderId="160" xfId="0" applyNumberFormat="1" applyFill="1" applyBorder="1" applyAlignment="1">
      <alignment horizontal="center" vertical="center"/>
    </xf>
    <xf numFmtId="0" fontId="0" fillId="25" borderId="160" xfId="0" applyFill="1" applyBorder="1" applyAlignment="1">
      <alignment horizontal="center" vertical="center"/>
    </xf>
    <xf numFmtId="0" fontId="0" fillId="24" borderId="15" xfId="0" applyFill="1" applyBorder="1" applyAlignment="1">
      <alignment horizontal="center" vertical="center"/>
    </xf>
    <xf numFmtId="0" fontId="0" fillId="0" borderId="0" xfId="0" applyAlignment="1">
      <alignment horizontal="center"/>
    </xf>
    <xf numFmtId="0" fontId="0" fillId="0" borderId="160" xfId="0" applyBorder="1">
      <alignment vertical="center"/>
    </xf>
    <xf numFmtId="0" fontId="0" fillId="27" borderId="160" xfId="0" applyFill="1" applyBorder="1">
      <alignment vertical="center"/>
    </xf>
    <xf numFmtId="0" fontId="0" fillId="29" borderId="160" xfId="0" applyFill="1" applyBorder="1">
      <alignment vertical="center"/>
    </xf>
    <xf numFmtId="0" fontId="0" fillId="31" borderId="160" xfId="0" applyFill="1" applyBorder="1">
      <alignment vertical="center"/>
    </xf>
    <xf numFmtId="0" fontId="0" fillId="9" borderId="160" xfId="0" applyFill="1" applyBorder="1" applyAlignment="1">
      <alignment horizontal="center" vertical="center"/>
    </xf>
    <xf numFmtId="0" fontId="0" fillId="0" borderId="160" xfId="0" applyBorder="1" applyAlignment="1">
      <alignment horizontal="center"/>
    </xf>
    <xf numFmtId="58" fontId="0" fillId="9" borderId="160" xfId="0" applyNumberFormat="1" applyFill="1" applyBorder="1" applyAlignment="1">
      <alignment horizontal="center" vertical="center"/>
    </xf>
    <xf numFmtId="0" fontId="100" fillId="5" borderId="160" xfId="0" applyFont="1" applyFill="1" applyBorder="1" applyAlignment="1">
      <alignment horizontal="center" vertical="center"/>
    </xf>
    <xf numFmtId="0" fontId="265" fillId="5" borderId="160" xfId="0" applyFont="1" applyFill="1" applyBorder="1" applyAlignment="1">
      <alignment horizontal="center" vertical="center"/>
    </xf>
    <xf numFmtId="0" fontId="0" fillId="14" borderId="160" xfId="0" applyFill="1" applyBorder="1" applyAlignment="1">
      <alignment horizontal="center" vertical="center"/>
    </xf>
    <xf numFmtId="180" fontId="100" fillId="5" borderId="160" xfId="0" applyNumberFormat="1" applyFont="1" applyFill="1" applyBorder="1" applyAlignment="1">
      <alignment horizontal="center" vertical="center"/>
    </xf>
    <xf numFmtId="180" fontId="0" fillId="0" borderId="160" xfId="0" applyNumberFormat="1" applyBorder="1" applyAlignment="1">
      <alignment horizontal="center" vertical="center"/>
    </xf>
    <xf numFmtId="0" fontId="100" fillId="9" borderId="160" xfId="0" applyFont="1" applyFill="1" applyBorder="1" applyAlignment="1">
      <alignment horizontal="center" vertical="center"/>
    </xf>
    <xf numFmtId="0" fontId="113" fillId="5" borderId="160" xfId="0" applyFont="1" applyFill="1" applyBorder="1" applyAlignment="1">
      <alignment horizontal="center" vertical="center"/>
    </xf>
    <xf numFmtId="0" fontId="0" fillId="32" borderId="160" xfId="0" applyFill="1" applyBorder="1" applyAlignment="1">
      <alignment horizontal="center" vertical="center"/>
    </xf>
    <xf numFmtId="0" fontId="100" fillId="5" borderId="0" xfId="0" applyFont="1" applyFill="1">
      <alignment vertical="center"/>
    </xf>
    <xf numFmtId="0" fontId="0" fillId="28" borderId="160" xfId="0" applyFill="1" applyBorder="1" applyAlignment="1">
      <alignment horizontal="center" vertical="center"/>
    </xf>
    <xf numFmtId="0" fontId="0" fillId="33" borderId="160" xfId="0" applyFill="1" applyBorder="1" applyAlignment="1">
      <alignment horizontal="center" vertical="center"/>
    </xf>
    <xf numFmtId="0" fontId="0" fillId="34" borderId="160" xfId="0" applyFill="1" applyBorder="1" applyAlignment="1">
      <alignment horizontal="center" vertical="center"/>
    </xf>
    <xf numFmtId="0" fontId="0" fillId="35" borderId="160" xfId="0" applyFill="1" applyBorder="1">
      <alignment vertical="center"/>
    </xf>
    <xf numFmtId="0" fontId="113" fillId="5" borderId="0" xfId="0" applyFont="1" applyFill="1" applyAlignment="1">
      <alignment horizontal="center" vertical="center"/>
    </xf>
    <xf numFmtId="0" fontId="266" fillId="5" borderId="160" xfId="0" applyFont="1" applyFill="1" applyBorder="1" applyAlignment="1">
      <alignment horizontal="center" vertical="center"/>
    </xf>
    <xf numFmtId="0" fontId="267" fillId="0" borderId="160" xfId="0" applyFont="1" applyBorder="1" applyAlignment="1">
      <alignment horizontal="center" vertical="center"/>
    </xf>
    <xf numFmtId="0" fontId="253" fillId="17" borderId="170" xfId="0" applyFont="1" applyFill="1" applyBorder="1" applyAlignment="1">
      <alignment horizontal="left" vertical="top" wrapText="1"/>
    </xf>
    <xf numFmtId="0" fontId="253" fillId="7" borderId="35" xfId="0" applyFont="1" applyFill="1" applyBorder="1" applyAlignment="1">
      <alignment horizontal="left" vertical="top" wrapText="1"/>
    </xf>
    <xf numFmtId="0" fontId="253" fillId="18" borderId="35" xfId="0" applyFont="1" applyFill="1" applyBorder="1" applyAlignment="1">
      <alignment horizontal="left" vertical="top" wrapText="1"/>
    </xf>
    <xf numFmtId="0" fontId="253" fillId="17" borderId="73" xfId="0" applyFont="1" applyFill="1" applyBorder="1" applyAlignment="1">
      <alignment horizontal="left" vertical="top" wrapText="1"/>
    </xf>
    <xf numFmtId="0" fontId="268" fillId="7" borderId="0" xfId="0" applyFont="1" applyFill="1" applyAlignment="1">
      <alignment horizontal="right" vertical="top" wrapText="1"/>
    </xf>
    <xf numFmtId="0" fontId="268" fillId="17" borderId="87" xfId="0" applyFont="1" applyFill="1" applyBorder="1" applyAlignment="1">
      <alignment horizontal="left" vertical="top" wrapText="1"/>
    </xf>
    <xf numFmtId="0" fontId="268" fillId="7" borderId="0" xfId="0" applyFont="1" applyFill="1" applyBorder="1" applyAlignment="1">
      <alignment horizontal="right" vertical="top" wrapText="1"/>
    </xf>
    <xf numFmtId="0" fontId="268" fillId="18" borderId="0" xfId="0" applyFont="1" applyFill="1" applyBorder="1" applyAlignment="1">
      <alignment horizontal="right" vertical="top" wrapText="1"/>
    </xf>
    <xf numFmtId="0" fontId="268" fillId="17" borderId="47" xfId="0" applyFont="1" applyFill="1" applyBorder="1" applyAlignment="1">
      <alignment horizontal="right" vertical="top" wrapText="1"/>
    </xf>
    <xf numFmtId="0" fontId="253" fillId="17" borderId="0" xfId="0" applyFont="1" applyFill="1" applyBorder="1" applyAlignment="1">
      <alignment horizontal="left" vertical="top" wrapText="1"/>
    </xf>
    <xf numFmtId="0" fontId="268" fillId="17" borderId="0" xfId="0" applyFont="1" applyFill="1" applyBorder="1" applyAlignment="1">
      <alignment horizontal="left" vertical="top" wrapText="1"/>
    </xf>
    <xf numFmtId="0" fontId="253" fillId="17" borderId="0" xfId="0" applyFont="1" applyFill="1" applyBorder="1" applyAlignment="1">
      <alignment horizontal="right" vertical="top" wrapText="1"/>
    </xf>
    <xf numFmtId="0" fontId="253" fillId="18" borderId="0" xfId="0" applyFont="1" applyFill="1" applyAlignment="1">
      <alignment horizontal="right" vertical="top" wrapText="1"/>
    </xf>
    <xf numFmtId="0" fontId="253" fillId="17" borderId="0" xfId="0" applyFont="1" applyFill="1" applyBorder="1" applyAlignment="1">
      <alignment horizontal="left" vertical="top" wrapText="1"/>
    </xf>
    <xf numFmtId="0" fontId="253" fillId="17" borderId="35" xfId="0" applyFont="1" applyFill="1" applyBorder="1" applyAlignment="1">
      <alignment horizontal="left" vertical="top" wrapText="1"/>
    </xf>
    <xf numFmtId="0" fontId="254" fillId="20" borderId="35" xfId="0" applyFont="1" applyFill="1" applyBorder="1" applyAlignment="1">
      <alignment horizontal="left" vertical="top" wrapText="1"/>
    </xf>
    <xf numFmtId="0" fontId="112" fillId="0" borderId="160" xfId="0" applyFont="1" applyBorder="1" applyAlignment="1">
      <alignment horizontal="center" vertical="center"/>
    </xf>
    <xf numFmtId="0" fontId="112" fillId="0" borderId="160" xfId="0" applyFont="1" applyBorder="1" applyAlignment="1">
      <alignment horizontal="center" vertical="center" wrapText="1"/>
    </xf>
    <xf numFmtId="43" fontId="112" fillId="0" borderId="160" xfId="17" applyFont="1" applyBorder="1" applyAlignment="1">
      <alignment horizontal="center" vertical="center"/>
    </xf>
    <xf numFmtId="0" fontId="98" fillId="0" borderId="0" xfId="0" applyFont="1" applyAlignment="1">
      <alignment horizontal="center" vertical="center"/>
    </xf>
    <xf numFmtId="0" fontId="173" fillId="0" borderId="160" xfId="0" applyFont="1" applyBorder="1" applyAlignment="1">
      <alignment horizontal="center" vertical="center" wrapText="1"/>
    </xf>
    <xf numFmtId="43" fontId="173" fillId="0" borderId="160" xfId="17" applyFont="1" applyBorder="1" applyAlignment="1">
      <alignment horizontal="center" vertical="center" wrapText="1"/>
    </xf>
    <xf numFmtId="0" fontId="98" fillId="0" borderId="160" xfId="0" applyFont="1" applyBorder="1" applyAlignment="1">
      <alignment horizontal="center" vertical="center" wrapText="1"/>
    </xf>
    <xf numFmtId="0" fontId="19" fillId="0" borderId="160" xfId="0" applyFont="1" applyBorder="1" applyAlignment="1">
      <alignment horizontal="center" vertical="center" wrapText="1"/>
    </xf>
    <xf numFmtId="0" fontId="112" fillId="5" borderId="160" xfId="0" applyFont="1" applyFill="1" applyBorder="1" applyAlignment="1">
      <alignment horizontal="center" vertical="center"/>
    </xf>
    <xf numFmtId="0" fontId="98" fillId="0" borderId="0" xfId="0" applyFont="1" applyAlignment="1">
      <alignment horizontal="center" vertical="center" wrapText="1"/>
    </xf>
    <xf numFmtId="43" fontId="98" fillId="0" borderId="0" xfId="17" applyFont="1" applyAlignment="1">
      <alignment horizontal="center" vertical="center"/>
    </xf>
    <xf numFmtId="0" fontId="253" fillId="7" borderId="171" xfId="0" applyFont="1" applyFill="1" applyBorder="1" applyAlignment="1">
      <alignment horizontal="left" vertical="top" wrapText="1"/>
    </xf>
    <xf numFmtId="0" fontId="254" fillId="20" borderId="0" xfId="0" applyFont="1" applyFill="1" applyBorder="1" applyAlignment="1">
      <alignment horizontal="left" vertical="top" wrapText="1"/>
    </xf>
    <xf numFmtId="0" fontId="270" fillId="18" borderId="0" xfId="0" applyFont="1" applyFill="1" applyBorder="1" applyAlignment="1">
      <alignment horizontal="right" vertical="top" wrapText="1"/>
    </xf>
    <xf numFmtId="0" fontId="269" fillId="0" borderId="0" xfId="18">
      <alignment vertical="center"/>
    </xf>
    <xf numFmtId="0" fontId="56" fillId="38" borderId="178" xfId="18" applyFont="1" applyFill="1" applyBorder="1" applyAlignment="1">
      <alignment horizontal="center" vertical="center" wrapText="1"/>
    </xf>
    <xf numFmtId="0" fontId="276" fillId="38" borderId="178" xfId="18" applyFont="1" applyFill="1" applyBorder="1" applyAlignment="1">
      <alignment horizontal="center" vertical="center" wrapText="1" readingOrder="1"/>
    </xf>
    <xf numFmtId="0" fontId="276" fillId="37" borderId="178" xfId="18" applyFont="1" applyFill="1" applyBorder="1" applyAlignment="1">
      <alignment horizontal="center" vertical="center" wrapText="1" readingOrder="1"/>
    </xf>
    <xf numFmtId="0" fontId="272" fillId="37" borderId="178" xfId="18" applyFont="1" applyFill="1" applyBorder="1" applyAlignment="1">
      <alignment horizontal="center" vertical="center" wrapText="1" readingOrder="1"/>
    </xf>
    <xf numFmtId="0" fontId="274" fillId="37" borderId="178" xfId="18" applyFont="1" applyFill="1" applyBorder="1" applyAlignment="1">
      <alignment horizontal="center" vertical="center" wrapText="1" readingOrder="1"/>
    </xf>
    <xf numFmtId="0" fontId="273" fillId="37" borderId="178" xfId="18" applyFont="1" applyFill="1" applyBorder="1" applyAlignment="1">
      <alignment horizontal="center" vertical="center" wrapText="1" readingOrder="1"/>
    </xf>
    <xf numFmtId="0" fontId="272" fillId="38" borderId="178" xfId="18" applyFont="1" applyFill="1" applyBorder="1" applyAlignment="1">
      <alignment horizontal="center" vertical="center" wrapText="1" readingOrder="1"/>
    </xf>
    <xf numFmtId="0" fontId="274" fillId="38" borderId="178" xfId="18" applyFont="1" applyFill="1" applyBorder="1" applyAlignment="1">
      <alignment horizontal="center" vertical="center" wrapText="1" readingOrder="1"/>
    </xf>
    <xf numFmtId="0" fontId="278" fillId="38" borderId="178" xfId="18" applyFont="1" applyFill="1" applyBorder="1" applyAlignment="1">
      <alignment horizontal="center" vertical="center" wrapText="1" readingOrder="1"/>
    </xf>
    <xf numFmtId="0" fontId="269" fillId="0" borderId="0" xfId="18" applyAlignment="1">
      <alignment vertical="center" wrapText="1"/>
    </xf>
    <xf numFmtId="0" fontId="272" fillId="37" borderId="182" xfId="18" applyFont="1" applyFill="1" applyBorder="1" applyAlignment="1">
      <alignment horizontal="center" vertical="center" wrapText="1"/>
    </xf>
    <xf numFmtId="0" fontId="272" fillId="38" borderId="182" xfId="18" applyFont="1" applyFill="1" applyBorder="1" applyAlignment="1">
      <alignment horizontal="center" vertical="center" wrapText="1"/>
    </xf>
    <xf numFmtId="0" fontId="253" fillId="7" borderId="0" xfId="0" applyFont="1" applyFill="1" applyAlignment="1">
      <alignment horizontal="left" vertical="top" wrapText="1"/>
    </xf>
    <xf numFmtId="0" fontId="99" fillId="19" borderId="0" xfId="0" applyFont="1" applyFill="1" applyAlignment="1"/>
    <xf numFmtId="0" fontId="260" fillId="0" borderId="16" xfId="0" applyFont="1" applyBorder="1">
      <alignment vertical="center"/>
    </xf>
    <xf numFmtId="0" fontId="0" fillId="0" borderId="19" xfId="0" applyBorder="1">
      <alignment vertical="center"/>
    </xf>
    <xf numFmtId="0" fontId="0" fillId="0" borderId="31" xfId="0" applyBorder="1">
      <alignment vertical="center"/>
    </xf>
    <xf numFmtId="0" fontId="261" fillId="0" borderId="18" xfId="0" applyFont="1" applyBorder="1">
      <alignment vertical="center"/>
    </xf>
    <xf numFmtId="0" fontId="261" fillId="0" borderId="0" xfId="0" applyFont="1" applyBorder="1">
      <alignment vertical="center"/>
    </xf>
    <xf numFmtId="0" fontId="261" fillId="0" borderId="56" xfId="0" applyFont="1" applyBorder="1">
      <alignment vertical="center"/>
    </xf>
    <xf numFmtId="0" fontId="261" fillId="0" borderId="42" xfId="0" applyFont="1" applyBorder="1">
      <alignment vertical="center"/>
    </xf>
    <xf numFmtId="0" fontId="261" fillId="0" borderId="47" xfId="0" applyFont="1" applyBorder="1">
      <alignment vertical="center"/>
    </xf>
    <xf numFmtId="0" fontId="261" fillId="0" borderId="43" xfId="0" applyFont="1" applyBorder="1">
      <alignment vertical="center"/>
    </xf>
    <xf numFmtId="0" fontId="261" fillId="19" borderId="18" xfId="0" applyFont="1" applyFill="1" applyBorder="1">
      <alignment vertical="center"/>
    </xf>
    <xf numFmtId="0" fontId="261" fillId="19" borderId="0" xfId="0" applyFont="1" applyFill="1" applyBorder="1">
      <alignment vertical="center"/>
    </xf>
    <xf numFmtId="0" fontId="261" fillId="19" borderId="56" xfId="0" applyFont="1" applyFill="1" applyBorder="1">
      <alignment vertical="center"/>
    </xf>
    <xf numFmtId="0" fontId="269" fillId="0" borderId="0" xfId="18" applyAlignment="1">
      <alignment horizontal="left" vertical="center" wrapText="1"/>
    </xf>
    <xf numFmtId="0" fontId="269" fillId="0" borderId="0" xfId="18" applyAlignment="1">
      <alignment horizontal="right" vertical="center" wrapText="1"/>
    </xf>
    <xf numFmtId="0" fontId="253" fillId="7" borderId="0" xfId="0" applyFont="1" applyFill="1" applyAlignment="1">
      <alignment horizontal="left" vertical="top" wrapText="1"/>
    </xf>
    <xf numFmtId="0" fontId="253" fillId="7" borderId="0" xfId="0" applyFont="1" applyFill="1" applyBorder="1" applyAlignment="1">
      <alignment horizontal="left" vertical="top" wrapText="1"/>
    </xf>
    <xf numFmtId="0" fontId="0" fillId="25" borderId="160" xfId="0" applyFill="1" applyBorder="1" applyAlignment="1">
      <alignment horizontal="center" vertical="center"/>
    </xf>
    <xf numFmtId="0" fontId="0" fillId="24" borderId="160" xfId="0" applyFill="1" applyBorder="1" applyAlignment="1">
      <alignment horizontal="center" vertical="center"/>
    </xf>
    <xf numFmtId="0" fontId="0" fillId="22" borderId="160" xfId="0" applyFill="1" applyBorder="1" applyAlignment="1">
      <alignment horizontal="center" vertical="center"/>
    </xf>
    <xf numFmtId="0" fontId="0" fillId="0" borderId="160" xfId="0" applyBorder="1" applyAlignment="1">
      <alignment horizontal="center" vertical="center"/>
    </xf>
    <xf numFmtId="0" fontId="98" fillId="0" borderId="160" xfId="0" applyFont="1" applyBorder="1" applyAlignment="1">
      <alignment horizontal="center" vertical="center"/>
    </xf>
    <xf numFmtId="0" fontId="254" fillId="39" borderId="0" xfId="0" applyFont="1" applyFill="1" applyAlignment="1">
      <alignment vertical="top" wrapText="1"/>
    </xf>
    <xf numFmtId="0" fontId="169" fillId="0" borderId="1" xfId="12" applyBorder="1" applyAlignment="1">
      <alignment horizontal="center"/>
    </xf>
    <xf numFmtId="0" fontId="169" fillId="5" borderId="1" xfId="12" applyFill="1" applyBorder="1" applyAlignment="1">
      <alignment horizontal="center"/>
    </xf>
    <xf numFmtId="0" fontId="169" fillId="0" borderId="1" xfId="12" applyBorder="1" applyAlignment="1">
      <alignment horizontal="center" vertical="center"/>
    </xf>
    <xf numFmtId="0" fontId="169" fillId="40" borderId="1" xfId="12" applyFill="1" applyBorder="1" applyAlignment="1">
      <alignment horizontal="center"/>
    </xf>
    <xf numFmtId="0" fontId="169" fillId="40" borderId="1" xfId="12" applyFill="1" applyBorder="1" applyAlignment="1">
      <alignment horizontal="center" vertical="center"/>
    </xf>
    <xf numFmtId="14" fontId="169" fillId="40" borderId="1" xfId="12" applyNumberFormat="1" applyFill="1" applyBorder="1" applyAlignment="1">
      <alignment horizontal="center" vertical="center"/>
    </xf>
    <xf numFmtId="0" fontId="169" fillId="9" borderId="1" xfId="12" applyFill="1" applyBorder="1" applyAlignment="1">
      <alignment horizontal="center"/>
    </xf>
    <xf numFmtId="14" fontId="169" fillId="9" borderId="1" xfId="12" applyNumberFormat="1" applyFill="1" applyBorder="1" applyAlignment="1">
      <alignment horizontal="center"/>
    </xf>
    <xf numFmtId="14" fontId="169" fillId="5" borderId="1" xfId="12" applyNumberFormat="1" applyFill="1" applyBorder="1" applyAlignment="1">
      <alignment horizontal="center"/>
    </xf>
    <xf numFmtId="14" fontId="169" fillId="0" borderId="1" xfId="12" applyNumberFormat="1" applyBorder="1" applyAlignment="1">
      <alignment horizontal="center"/>
    </xf>
    <xf numFmtId="0" fontId="169" fillId="0" borderId="0" xfId="12" applyAlignment="1">
      <alignment horizontal="center"/>
    </xf>
    <xf numFmtId="0" fontId="169" fillId="0" borderId="0" xfId="12" applyAlignment="1">
      <alignment horizontal="center" vertical="center"/>
    </xf>
    <xf numFmtId="0" fontId="169" fillId="41" borderId="1" xfId="12" applyFill="1" applyBorder="1" applyAlignment="1">
      <alignment horizontal="center" vertical="center"/>
    </xf>
    <xf numFmtId="0" fontId="169" fillId="0" borderId="1" xfId="12" applyBorder="1"/>
    <xf numFmtId="176" fontId="0" fillId="0" borderId="1" xfId="19" applyFont="1" applyBorder="1" applyAlignment="1"/>
    <xf numFmtId="176" fontId="0" fillId="0" borderId="15" xfId="19" applyFont="1" applyFill="1" applyBorder="1" applyAlignment="1">
      <alignment horizontal="center"/>
    </xf>
    <xf numFmtId="0" fontId="123" fillId="0" borderId="1" xfId="12" applyFont="1" applyBorder="1"/>
    <xf numFmtId="176" fontId="123" fillId="0" borderId="1" xfId="19" applyFont="1" applyBorder="1" applyAlignment="1"/>
    <xf numFmtId="0" fontId="123" fillId="0" borderId="0" xfId="12" applyFont="1"/>
    <xf numFmtId="0" fontId="253" fillId="42" borderId="0" xfId="0" applyFont="1" applyFill="1" applyBorder="1" applyAlignment="1">
      <alignment vertical="top" wrapText="1"/>
    </xf>
    <xf numFmtId="0" fontId="253" fillId="43" borderId="0" xfId="0" applyFont="1" applyFill="1" applyAlignment="1">
      <alignment vertical="top" wrapText="1"/>
    </xf>
    <xf numFmtId="0" fontId="253" fillId="43" borderId="87" xfId="0" applyFont="1" applyFill="1" applyBorder="1" applyAlignment="1">
      <alignment vertical="top" wrapText="1"/>
    </xf>
    <xf numFmtId="0" fontId="0" fillId="43" borderId="0" xfId="0" applyFill="1">
      <alignment vertical="center"/>
    </xf>
    <xf numFmtId="14" fontId="253" fillId="18" borderId="0" xfId="0" applyNumberFormat="1" applyFont="1" applyFill="1" applyBorder="1" applyAlignment="1">
      <alignment horizontal="left" vertical="top" wrapText="1"/>
    </xf>
    <xf numFmtId="0" fontId="97" fillId="0" borderId="37" xfId="0" applyNumberFormat="1" applyFont="1" applyFill="1" applyBorder="1" applyAlignment="1" applyProtection="1">
      <alignment horizontal="center" vertical="center" wrapText="1"/>
      <protection locked="0"/>
    </xf>
    <xf numFmtId="182" fontId="0" fillId="0" borderId="0" xfId="20" applyNumberFormat="1" applyFont="1">
      <alignment vertical="center"/>
    </xf>
    <xf numFmtId="0" fontId="136" fillId="0" borderId="41" xfId="0" applyNumberFormat="1" applyFont="1" applyFill="1" applyBorder="1" applyAlignment="1" applyProtection="1">
      <alignment horizontal="center" vertical="center" wrapText="1"/>
      <protection locked="0"/>
    </xf>
    <xf numFmtId="0" fontId="253" fillId="7" borderId="0" xfId="0" applyFont="1" applyFill="1" applyAlignment="1">
      <alignment horizontal="left" vertical="top" wrapText="1"/>
    </xf>
    <xf numFmtId="0" fontId="281" fillId="44" borderId="160" xfId="0" applyFont="1" applyFill="1" applyBorder="1" applyAlignment="1">
      <alignment horizontal="center" vertical="center"/>
    </xf>
    <xf numFmtId="0" fontId="99" fillId="45" borderId="183" xfId="0" applyFont="1" applyFill="1" applyBorder="1">
      <alignment vertical="center"/>
    </xf>
    <xf numFmtId="0" fontId="0" fillId="0" borderId="0" xfId="0" applyAlignment="1">
      <alignment horizontal="left" vertical="center"/>
    </xf>
    <xf numFmtId="10" fontId="50" fillId="7" borderId="0" xfId="20" applyNumberFormat="1" applyFont="1" applyFill="1" applyProtection="1">
      <alignment vertical="center"/>
      <protection locked="0"/>
    </xf>
    <xf numFmtId="9" fontId="47" fillId="40" borderId="5" xfId="0" applyNumberFormat="1" applyFont="1" applyFill="1" applyBorder="1" applyAlignment="1" applyProtection="1">
      <alignment horizontal="center" vertical="center"/>
      <protection locked="0"/>
    </xf>
    <xf numFmtId="0" fontId="253" fillId="7" borderId="0" xfId="0" applyFont="1" applyFill="1" applyAlignment="1">
      <alignment horizontal="left" vertical="top" wrapText="1"/>
    </xf>
    <xf numFmtId="0" fontId="169" fillId="0" borderId="1" xfId="12" applyBorder="1" applyAlignment="1" applyProtection="1">
      <alignment horizontal="center" vertical="center"/>
      <protection locked="0"/>
    </xf>
    <xf numFmtId="2" fontId="253" fillId="7" borderId="0" xfId="0" applyNumberFormat="1" applyFont="1" applyFill="1" applyAlignment="1">
      <alignment horizontal="left" vertical="top" wrapText="1"/>
    </xf>
    <xf numFmtId="0" fontId="79" fillId="6" borderId="0" xfId="0" applyFont="1" applyFill="1" applyAlignment="1" applyProtection="1">
      <alignment vertical="center"/>
      <protection locked="0"/>
    </xf>
    <xf numFmtId="0" fontId="79" fillId="6" borderId="0" xfId="0" applyFont="1" applyFill="1" applyAlignment="1" applyProtection="1">
      <alignment horizontal="center" vertical="center"/>
      <protection locked="0"/>
    </xf>
    <xf numFmtId="1" fontId="253" fillId="7" borderId="0" xfId="0" applyNumberFormat="1" applyFont="1" applyFill="1" applyAlignment="1">
      <alignment horizontal="right" vertical="top" wrapText="1"/>
    </xf>
    <xf numFmtId="0" fontId="103" fillId="0" borderId="0" xfId="0" applyFont="1" applyFill="1" applyProtection="1">
      <alignment vertical="center"/>
      <protection locked="0"/>
    </xf>
    <xf numFmtId="1" fontId="50" fillId="6" borderId="0" xfId="0" applyNumberFormat="1" applyFont="1" applyFill="1" applyAlignment="1" applyProtection="1">
      <alignment vertical="center"/>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5"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3" fillId="17" borderId="0" xfId="0" applyFont="1" applyFill="1" applyBorder="1" applyAlignment="1">
      <alignment horizontal="left" vertical="top" wrapText="1"/>
    </xf>
    <xf numFmtId="0" fontId="0" fillId="25" borderId="161" xfId="0" applyFill="1" applyBorder="1" applyAlignment="1">
      <alignment horizontal="center" vertical="center"/>
    </xf>
    <xf numFmtId="0" fontId="0" fillId="25" borderId="15" xfId="0" applyFill="1" applyBorder="1" applyAlignment="1">
      <alignment horizontal="center" vertical="center"/>
    </xf>
    <xf numFmtId="0" fontId="0" fillId="25" borderId="162" xfId="0" applyFill="1" applyBorder="1" applyAlignment="1">
      <alignment horizontal="center" vertical="center"/>
    </xf>
    <xf numFmtId="0" fontId="0" fillId="25" borderId="160" xfId="0" applyFill="1" applyBorder="1" applyAlignment="1">
      <alignment horizontal="center" vertical="center"/>
    </xf>
    <xf numFmtId="0" fontId="98" fillId="22" borderId="159" xfId="0" applyFont="1" applyFill="1" applyBorder="1" applyAlignment="1">
      <alignment horizontal="center" vertical="center" wrapText="1"/>
    </xf>
    <xf numFmtId="0" fontId="98" fillId="22" borderId="35" xfId="0" applyFont="1" applyFill="1" applyBorder="1" applyAlignment="1">
      <alignment horizontal="center" vertical="center" wrapText="1"/>
    </xf>
    <xf numFmtId="0" fontId="0" fillId="22" borderId="160" xfId="0" applyFill="1" applyBorder="1" applyAlignment="1">
      <alignment horizontal="center" vertical="center"/>
    </xf>
    <xf numFmtId="0" fontId="0" fillId="23" borderId="160" xfId="0" applyFill="1" applyBorder="1" applyAlignment="1">
      <alignment horizontal="center" vertical="center"/>
    </xf>
    <xf numFmtId="0" fontId="0" fillId="24" borderId="160" xfId="0" applyFill="1" applyBorder="1" applyAlignment="1">
      <alignment horizontal="center" vertical="center"/>
    </xf>
    <xf numFmtId="0" fontId="98" fillId="25" borderId="160" xfId="0" applyFont="1" applyFill="1" applyBorder="1" applyAlignment="1">
      <alignment horizontal="center" vertical="center"/>
    </xf>
    <xf numFmtId="0" fontId="98" fillId="0" borderId="161" xfId="0" applyFont="1" applyBorder="1" applyAlignment="1">
      <alignment horizontal="center" vertical="center"/>
    </xf>
    <xf numFmtId="0" fontId="0" fillId="0" borderId="15" xfId="0" applyBorder="1" applyAlignment="1">
      <alignment horizontal="center" vertical="center"/>
    </xf>
    <xf numFmtId="0" fontId="0" fillId="0" borderId="162" xfId="0" applyBorder="1" applyAlignment="1">
      <alignment horizontal="center" vertical="center"/>
    </xf>
    <xf numFmtId="0" fontId="0" fillId="0" borderId="161" xfId="0" applyBorder="1" applyAlignment="1">
      <alignment horizontal="center" vertical="center" wrapText="1"/>
    </xf>
    <xf numFmtId="0" fontId="0" fillId="0" borderId="15" xfId="0" applyBorder="1" applyAlignment="1">
      <alignment horizontal="center" vertical="center" wrapText="1"/>
    </xf>
    <xf numFmtId="0" fontId="0" fillId="0" borderId="162" xfId="0" applyBorder="1" applyAlignment="1">
      <alignment horizontal="center" vertical="center" wrapText="1"/>
    </xf>
    <xf numFmtId="0" fontId="0" fillId="27" borderId="160" xfId="0" applyFill="1" applyBorder="1" applyAlignment="1">
      <alignment horizontal="center" vertical="center"/>
    </xf>
    <xf numFmtId="0" fontId="0" fillId="0" borderId="160" xfId="0" applyBorder="1" applyAlignment="1">
      <alignment horizontal="center" vertical="center"/>
    </xf>
    <xf numFmtId="0" fontId="0" fillId="28" borderId="160" xfId="0" applyFill="1" applyBorder="1" applyAlignment="1">
      <alignment horizontal="center" vertical="center"/>
    </xf>
    <xf numFmtId="0" fontId="0" fillId="29" borderId="160" xfId="0" applyFill="1" applyBorder="1" applyAlignment="1">
      <alignment horizontal="center" vertical="center"/>
    </xf>
    <xf numFmtId="0" fontId="0" fillId="29" borderId="161" xfId="0" applyFill="1" applyBorder="1" applyAlignment="1">
      <alignment horizontal="center" vertical="center"/>
    </xf>
    <xf numFmtId="0" fontId="0" fillId="29" borderId="15" xfId="0" applyFill="1" applyBorder="1" applyAlignment="1">
      <alignment horizontal="center" vertical="center"/>
    </xf>
    <xf numFmtId="0" fontId="0" fillId="29" borderId="162" xfId="0" applyFill="1" applyBorder="1" applyAlignment="1">
      <alignment horizontal="center" vertical="center"/>
    </xf>
    <xf numFmtId="0" fontId="0" fillId="26" borderId="160" xfId="0" applyFill="1" applyBorder="1" applyAlignment="1">
      <alignment horizontal="center" vertical="center" wrapText="1"/>
    </xf>
    <xf numFmtId="0" fontId="0" fillId="27" borderId="161" xfId="0" applyFill="1" applyBorder="1" applyAlignment="1">
      <alignment horizontal="center" vertical="center"/>
    </xf>
    <xf numFmtId="0" fontId="0" fillId="27" borderId="15" xfId="0" applyFill="1" applyBorder="1" applyAlignment="1">
      <alignment horizontal="center" vertical="center"/>
    </xf>
    <xf numFmtId="0" fontId="0" fillId="27" borderId="162" xfId="0" applyFill="1" applyBorder="1" applyAlignment="1">
      <alignment horizontal="center" vertical="center"/>
    </xf>
    <xf numFmtId="0" fontId="0" fillId="31" borderId="160" xfId="0" applyFill="1" applyBorder="1" applyAlignment="1">
      <alignment horizontal="center" vertical="center"/>
    </xf>
    <xf numFmtId="0" fontId="0" fillId="9" borderId="160" xfId="0" applyFill="1" applyBorder="1" applyAlignment="1">
      <alignment horizontal="center" vertical="center"/>
    </xf>
    <xf numFmtId="0" fontId="0" fillId="9" borderId="161" xfId="0" applyFill="1" applyBorder="1" applyAlignment="1">
      <alignment horizontal="center" vertical="center"/>
    </xf>
    <xf numFmtId="0" fontId="0" fillId="9" borderId="15" xfId="0" applyFill="1" applyBorder="1" applyAlignment="1">
      <alignment horizontal="center" vertical="center"/>
    </xf>
    <xf numFmtId="0" fontId="0" fillId="9" borderId="162" xfId="0" applyFill="1" applyBorder="1" applyAlignment="1">
      <alignment horizontal="center" vertical="center"/>
    </xf>
    <xf numFmtId="0" fontId="0" fillId="30" borderId="160" xfId="0" applyFill="1" applyBorder="1" applyAlignment="1">
      <alignment horizontal="center" vertical="center"/>
    </xf>
    <xf numFmtId="0" fontId="0" fillId="31" borderId="161" xfId="0" applyFill="1" applyBorder="1" applyAlignment="1">
      <alignment horizontal="center" vertical="center"/>
    </xf>
    <xf numFmtId="0" fontId="0" fillId="31" borderId="15" xfId="0" applyFill="1" applyBorder="1" applyAlignment="1">
      <alignment horizontal="center" vertical="center"/>
    </xf>
    <xf numFmtId="0" fontId="0" fillId="31" borderId="162" xfId="0" applyFill="1" applyBorder="1" applyAlignment="1">
      <alignment horizontal="center" vertical="center"/>
    </xf>
    <xf numFmtId="0" fontId="98" fillId="22" borderId="161" xfId="0" applyFont="1" applyFill="1" applyBorder="1" applyAlignment="1">
      <alignment horizontal="center" vertical="center" wrapText="1"/>
    </xf>
    <xf numFmtId="0" fontId="0" fillId="22" borderId="15" xfId="0" applyFill="1" applyBorder="1" applyAlignment="1">
      <alignment horizontal="center" vertical="center" wrapText="1"/>
    </xf>
    <xf numFmtId="0" fontId="0" fillId="22" borderId="162" xfId="0" applyFill="1" applyBorder="1" applyAlignment="1">
      <alignment horizontal="center" vertical="center" wrapText="1"/>
    </xf>
    <xf numFmtId="0" fontId="0" fillId="14" borderId="160" xfId="0" applyFill="1" applyBorder="1" applyAlignment="1">
      <alignment horizontal="center" vertical="center"/>
    </xf>
    <xf numFmtId="0" fontId="98" fillId="0" borderId="15" xfId="0" applyFont="1" applyBorder="1" applyAlignment="1">
      <alignment horizontal="center" vertical="center"/>
    </xf>
    <xf numFmtId="0" fontId="98" fillId="0" borderId="162" xfId="0" applyFont="1" applyBorder="1" applyAlignment="1">
      <alignment horizontal="center" vertical="center"/>
    </xf>
    <xf numFmtId="0" fontId="0" fillId="0" borderId="161" xfId="0" applyBorder="1" applyAlignment="1">
      <alignment horizontal="center" vertical="center"/>
    </xf>
    <xf numFmtId="0" fontId="0" fillId="14" borderId="161" xfId="0" applyFill="1" applyBorder="1" applyAlignment="1">
      <alignment horizontal="center" vertical="center"/>
    </xf>
    <xf numFmtId="0" fontId="0" fillId="14" borderId="15" xfId="0" applyFill="1" applyBorder="1" applyAlignment="1">
      <alignment horizontal="center" vertical="center"/>
    </xf>
    <xf numFmtId="0" fontId="0" fillId="14" borderId="162" xfId="0" applyFill="1" applyBorder="1" applyAlignment="1">
      <alignment horizontal="center" vertical="center"/>
    </xf>
    <xf numFmtId="0" fontId="98" fillId="22" borderId="160" xfId="0" applyFont="1" applyFill="1" applyBorder="1" applyAlignment="1">
      <alignment horizontal="center" vertical="center" wrapText="1"/>
    </xf>
    <xf numFmtId="0" fontId="0" fillId="22" borderId="160" xfId="0" applyFill="1" applyBorder="1" applyAlignment="1">
      <alignment horizontal="center" vertical="center" wrapText="1"/>
    </xf>
    <xf numFmtId="0" fontId="0" fillId="28" borderId="161" xfId="0" applyFill="1" applyBorder="1" applyAlignment="1">
      <alignment horizontal="center" vertical="center"/>
    </xf>
    <xf numFmtId="0" fontId="0" fillId="28" borderId="15" xfId="0" applyFill="1" applyBorder="1" applyAlignment="1">
      <alignment horizontal="center" vertical="center"/>
    </xf>
    <xf numFmtId="0" fontId="0" fillId="28" borderId="162" xfId="0" applyFill="1" applyBorder="1" applyAlignment="1">
      <alignment horizontal="center" vertical="center"/>
    </xf>
    <xf numFmtId="0" fontId="0" fillId="33" borderId="160" xfId="0" applyFill="1" applyBorder="1" applyAlignment="1">
      <alignment horizontal="center" vertical="center"/>
    </xf>
    <xf numFmtId="0" fontId="0" fillId="33" borderId="161" xfId="0" applyFill="1" applyBorder="1" applyAlignment="1">
      <alignment horizontal="center" vertical="center"/>
    </xf>
    <xf numFmtId="0" fontId="0" fillId="33" borderId="15" xfId="0" applyFill="1" applyBorder="1" applyAlignment="1">
      <alignment horizontal="center" vertical="center"/>
    </xf>
    <xf numFmtId="0" fontId="0" fillId="33" borderId="162" xfId="0" applyFill="1" applyBorder="1" applyAlignment="1">
      <alignment horizontal="center" vertical="center"/>
    </xf>
    <xf numFmtId="0" fontId="0" fillId="35" borderId="160" xfId="0" applyFill="1" applyBorder="1" applyAlignment="1">
      <alignment horizontal="center" vertical="center"/>
    </xf>
    <xf numFmtId="0" fontId="0" fillId="32" borderId="160" xfId="0" applyFill="1" applyBorder="1" applyAlignment="1">
      <alignment horizontal="center" vertical="center"/>
    </xf>
    <xf numFmtId="0" fontId="0" fillId="32" borderId="161" xfId="0" applyFill="1" applyBorder="1" applyAlignment="1">
      <alignment horizontal="center" vertical="center"/>
    </xf>
    <xf numFmtId="0" fontId="0" fillId="32" borderId="15" xfId="0" applyFill="1" applyBorder="1" applyAlignment="1">
      <alignment horizontal="center" vertical="center"/>
    </xf>
    <xf numFmtId="0" fontId="0" fillId="32" borderId="162" xfId="0" applyFill="1" applyBorder="1" applyAlignment="1">
      <alignment horizontal="center" vertical="center"/>
    </xf>
    <xf numFmtId="0" fontId="0" fillId="34" borderId="160" xfId="0" applyFill="1" applyBorder="1" applyAlignment="1">
      <alignment horizontal="center" vertical="center"/>
    </xf>
    <xf numFmtId="0" fontId="0" fillId="34" borderId="161" xfId="0" applyFill="1" applyBorder="1" applyAlignment="1">
      <alignment horizontal="center" vertical="center"/>
    </xf>
    <xf numFmtId="0" fontId="0" fillId="34" borderId="15" xfId="0" applyFill="1" applyBorder="1" applyAlignment="1">
      <alignment horizontal="center" vertical="center"/>
    </xf>
    <xf numFmtId="0" fontId="0" fillId="34" borderId="162" xfId="0" applyFill="1" applyBorder="1" applyAlignment="1">
      <alignment horizontal="center" vertical="center"/>
    </xf>
    <xf numFmtId="0" fontId="0" fillId="34" borderId="163" xfId="0" applyFill="1" applyBorder="1" applyAlignment="1">
      <alignment horizontal="center" vertical="center"/>
    </xf>
    <xf numFmtId="0" fontId="0" fillId="34" borderId="164" xfId="0" applyFill="1" applyBorder="1" applyAlignment="1">
      <alignment horizontal="center" vertical="center"/>
    </xf>
    <xf numFmtId="0" fontId="0" fillId="34" borderId="165" xfId="0" applyFill="1" applyBorder="1" applyAlignment="1">
      <alignment horizontal="center" vertical="center"/>
    </xf>
    <xf numFmtId="0" fontId="0" fillId="35" borderId="161" xfId="0" applyFill="1" applyBorder="1" applyAlignment="1">
      <alignment horizontal="center" vertical="center"/>
    </xf>
    <xf numFmtId="0" fontId="0" fillId="35" borderId="15" xfId="0" applyFill="1" applyBorder="1" applyAlignment="1">
      <alignment horizontal="center" vertical="center"/>
    </xf>
    <xf numFmtId="0" fontId="0" fillId="35" borderId="162" xfId="0" applyFill="1" applyBorder="1" applyAlignment="1">
      <alignment horizontal="center" vertical="center"/>
    </xf>
    <xf numFmtId="0" fontId="0" fillId="32" borderId="166" xfId="0" applyFill="1" applyBorder="1" applyAlignment="1">
      <alignment horizontal="center" vertical="center"/>
    </xf>
    <xf numFmtId="0" fontId="0" fillId="32" borderId="159" xfId="0" applyFill="1" applyBorder="1" applyAlignment="1">
      <alignment horizontal="center" vertical="center"/>
    </xf>
    <xf numFmtId="0" fontId="0" fillId="32" borderId="58" xfId="0" applyFill="1" applyBorder="1" applyAlignment="1">
      <alignment horizontal="center" vertical="center"/>
    </xf>
    <xf numFmtId="0" fontId="0" fillId="32" borderId="35" xfId="0" applyFill="1" applyBorder="1" applyAlignment="1">
      <alignment horizontal="center" vertical="center"/>
    </xf>
    <xf numFmtId="0" fontId="0" fillId="32" borderId="167" xfId="0" applyFill="1" applyBorder="1" applyAlignment="1">
      <alignment horizontal="center" vertical="center"/>
    </xf>
    <xf numFmtId="0" fontId="0" fillId="32" borderId="168" xfId="0" applyFill="1" applyBorder="1" applyAlignment="1">
      <alignment horizontal="center" vertical="center"/>
    </xf>
    <xf numFmtId="0" fontId="0" fillId="32" borderId="163" xfId="0" applyFill="1" applyBorder="1" applyAlignment="1">
      <alignment horizontal="center" vertical="center"/>
    </xf>
    <xf numFmtId="0" fontId="0" fillId="32" borderId="164" xfId="0" applyFill="1" applyBorder="1" applyAlignment="1">
      <alignment horizontal="center" vertical="center"/>
    </xf>
    <xf numFmtId="0" fontId="0" fillId="32" borderId="165" xfId="0" applyFill="1" applyBorder="1" applyAlignment="1">
      <alignment horizontal="center" vertical="center"/>
    </xf>
    <xf numFmtId="0" fontId="98" fillId="14" borderId="160" xfId="0" applyFont="1" applyFill="1" applyBorder="1" applyAlignment="1">
      <alignment horizontal="center" vertical="center"/>
    </xf>
    <xf numFmtId="0" fontId="98" fillId="32" borderId="161" xfId="0" applyFont="1" applyFill="1" applyBorder="1" applyAlignment="1">
      <alignment horizontal="center" vertical="center"/>
    </xf>
    <xf numFmtId="0" fontId="98" fillId="32" borderId="15" xfId="0" applyFont="1" applyFill="1" applyBorder="1" applyAlignment="1">
      <alignment horizontal="center" vertical="center"/>
    </xf>
    <xf numFmtId="0" fontId="98" fillId="32" borderId="162" xfId="0" applyFont="1" applyFill="1" applyBorder="1" applyAlignment="1">
      <alignment horizontal="center" vertical="center"/>
    </xf>
    <xf numFmtId="0" fontId="98" fillId="0" borderId="160" xfId="0" applyFont="1" applyBorder="1" applyAlignment="1">
      <alignment horizontal="center" vertical="center"/>
    </xf>
    <xf numFmtId="0" fontId="98" fillId="22" borderId="160" xfId="0" applyFont="1" applyFill="1" applyBorder="1" applyAlignment="1">
      <alignment horizontal="center" vertical="center"/>
    </xf>
    <xf numFmtId="0" fontId="0" fillId="22" borderId="161" xfId="0" applyFill="1" applyBorder="1" applyAlignment="1">
      <alignment horizontal="center" vertical="center"/>
    </xf>
    <xf numFmtId="0" fontId="0" fillId="22" borderId="15" xfId="0" applyFill="1" applyBorder="1" applyAlignment="1">
      <alignment horizontal="center" vertical="center"/>
    </xf>
    <xf numFmtId="0" fontId="0" fillId="22" borderId="162" xfId="0" applyFill="1" applyBorder="1" applyAlignment="1">
      <alignment horizontal="center" vertical="center"/>
    </xf>
    <xf numFmtId="0" fontId="98" fillId="22" borderId="161" xfId="0" applyFont="1" applyFill="1" applyBorder="1" applyAlignment="1">
      <alignment horizontal="center" vertical="center"/>
    </xf>
    <xf numFmtId="0" fontId="98" fillId="22" borderId="15" xfId="0" applyFont="1" applyFill="1" applyBorder="1" applyAlignment="1">
      <alignment horizontal="center" vertical="center"/>
    </xf>
    <xf numFmtId="0" fontId="98" fillId="22" borderId="162" xfId="0" applyFont="1" applyFill="1" applyBorder="1" applyAlignment="1">
      <alignment horizontal="center" vertical="center"/>
    </xf>
    <xf numFmtId="0" fontId="98" fillId="22" borderId="169" xfId="0" applyFont="1" applyFill="1" applyBorder="1" applyAlignment="1">
      <alignment horizontal="center" vertical="center" wrapText="1"/>
    </xf>
    <xf numFmtId="0" fontId="98" fillId="22" borderId="0" xfId="0" applyFont="1" applyFill="1" applyAlignment="1">
      <alignment horizontal="center" vertical="center" wrapText="1"/>
    </xf>
    <xf numFmtId="0" fontId="253" fillId="7" borderId="0" xfId="0" applyFont="1" applyFill="1" applyAlignment="1">
      <alignment horizontal="left" vertical="top" wrapText="1"/>
    </xf>
    <xf numFmtId="0" fontId="253" fillId="7" borderId="83" xfId="0" applyFont="1" applyFill="1" applyBorder="1" applyAlignment="1">
      <alignment horizontal="left" vertical="top" wrapText="1"/>
    </xf>
    <xf numFmtId="0" fontId="253" fillId="7" borderId="0" xfId="0" applyFont="1" applyFill="1" applyBorder="1" applyAlignment="1">
      <alignment horizontal="left" vertical="top" wrapText="1"/>
    </xf>
    <xf numFmtId="0" fontId="169" fillId="40" borderId="1" xfId="12" applyFill="1" applyBorder="1" applyAlignment="1">
      <alignment horizontal="center" vertical="center"/>
    </xf>
    <xf numFmtId="14" fontId="169" fillId="40" borderId="1" xfId="12" applyNumberFormat="1" applyFill="1" applyBorder="1" applyAlignment="1">
      <alignment horizontal="center" vertical="center"/>
    </xf>
    <xf numFmtId="0" fontId="169" fillId="40" borderId="13" xfId="12" applyFill="1" applyBorder="1" applyAlignment="1">
      <alignment horizontal="center" vertical="center"/>
    </xf>
    <xf numFmtId="0" fontId="169" fillId="40" borderId="15" xfId="12" applyFill="1" applyBorder="1" applyAlignment="1">
      <alignment horizontal="center" vertical="center"/>
    </xf>
    <xf numFmtId="0" fontId="169" fillId="40" borderId="162" xfId="12" applyFill="1" applyBorder="1" applyAlignment="1">
      <alignment horizontal="center" vertical="center"/>
    </xf>
    <xf numFmtId="0" fontId="169" fillId="5" borderId="1" xfId="12" applyFill="1" applyBorder="1" applyAlignment="1">
      <alignment horizontal="center" vertical="center"/>
    </xf>
    <xf numFmtId="14" fontId="169" fillId="5" borderId="1" xfId="12" applyNumberFormat="1" applyFill="1" applyBorder="1" applyAlignment="1">
      <alignment horizontal="center" vertical="center"/>
    </xf>
    <xf numFmtId="0" fontId="169" fillId="0" borderId="1" xfId="12" applyBorder="1" applyAlignment="1">
      <alignment horizontal="center" vertical="center"/>
    </xf>
    <xf numFmtId="14" fontId="169" fillId="0" borderId="1" xfId="12" applyNumberFormat="1" applyBorder="1" applyAlignment="1">
      <alignment horizontal="center" vertical="center"/>
    </xf>
    <xf numFmtId="0" fontId="169" fillId="0" borderId="13" xfId="12" applyBorder="1" applyAlignment="1">
      <alignment horizontal="center" vertical="center"/>
    </xf>
    <xf numFmtId="0" fontId="169" fillId="0" borderId="162" xfId="12" applyBorder="1" applyAlignment="1">
      <alignment horizontal="center" vertical="center"/>
    </xf>
    <xf numFmtId="0" fontId="169" fillId="0" borderId="15" xfId="12" applyBorder="1" applyAlignment="1">
      <alignment horizontal="center" vertical="center"/>
    </xf>
    <xf numFmtId="0" fontId="169" fillId="5" borderId="13" xfId="12" applyFill="1" applyBorder="1" applyAlignment="1">
      <alignment horizontal="center" vertical="center"/>
    </xf>
    <xf numFmtId="0" fontId="169" fillId="5" borderId="162" xfId="12" applyFill="1" applyBorder="1" applyAlignment="1">
      <alignment horizontal="center" vertical="center"/>
    </xf>
    <xf numFmtId="0" fontId="169" fillId="41" borderId="1" xfId="12" applyFill="1" applyBorder="1" applyAlignment="1">
      <alignment horizontal="center" vertical="center"/>
    </xf>
    <xf numFmtId="0" fontId="269" fillId="0" borderId="0" xfId="18" applyAlignment="1">
      <alignment horizontal="center" vertical="center"/>
    </xf>
    <xf numFmtId="0" fontId="271" fillId="36" borderId="172" xfId="18" applyFont="1" applyFill="1" applyBorder="1" applyAlignment="1">
      <alignment horizontal="center" vertical="center" wrapText="1" readingOrder="1"/>
    </xf>
    <xf numFmtId="0" fontId="271" fillId="36" borderId="173" xfId="18" applyFont="1" applyFill="1" applyBorder="1" applyAlignment="1">
      <alignment horizontal="center" vertical="center" wrapText="1" readingOrder="1"/>
    </xf>
    <xf numFmtId="0" fontId="271" fillId="36" borderId="174" xfId="18" applyFont="1" applyFill="1" applyBorder="1" applyAlignment="1">
      <alignment horizontal="center" vertical="center" wrapText="1" readingOrder="1"/>
    </xf>
    <xf numFmtId="0" fontId="272" fillId="37" borderId="175" xfId="18" applyFont="1" applyFill="1" applyBorder="1" applyAlignment="1">
      <alignment horizontal="center" vertical="center" wrapText="1" readingOrder="1"/>
    </xf>
    <xf numFmtId="0" fontId="272" fillId="37" borderId="176" xfId="18" applyFont="1" applyFill="1" applyBorder="1" applyAlignment="1">
      <alignment horizontal="center" vertical="center" wrapText="1" readingOrder="1"/>
    </xf>
    <xf numFmtId="0" fontId="272" fillId="37" borderId="177" xfId="18" applyFont="1" applyFill="1" applyBorder="1" applyAlignment="1">
      <alignment horizontal="center" vertical="center" wrapText="1" readingOrder="1"/>
    </xf>
    <xf numFmtId="0" fontId="276" fillId="38" borderId="179" xfId="18" applyFont="1" applyFill="1" applyBorder="1" applyAlignment="1">
      <alignment horizontal="center" vertical="center" wrapText="1" readingOrder="1"/>
    </xf>
    <xf numFmtId="0" fontId="276" fillId="38" borderId="180" xfId="18" applyFont="1" applyFill="1" applyBorder="1" applyAlignment="1">
      <alignment horizontal="center" vertical="center" wrapText="1" readingOrder="1"/>
    </xf>
    <xf numFmtId="0" fontId="276" fillId="38" borderId="181" xfId="18" applyFont="1" applyFill="1" applyBorder="1" applyAlignment="1">
      <alignment horizontal="center" vertical="center" wrapText="1" readingOrder="1"/>
    </xf>
    <xf numFmtId="0" fontId="112" fillId="0" borderId="161"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12" fillId="0" borderId="160"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2" fillId="0" borderId="157" xfId="0" applyFont="1" applyBorder="1" applyAlignment="1" applyProtection="1">
      <alignment horizontal="center" vertical="top" wrapText="1"/>
      <protection locked="0"/>
    </xf>
    <xf numFmtId="0" fontId="82" fillId="0" borderId="156" xfId="0" applyFont="1" applyBorder="1" applyAlignment="1" applyProtection="1">
      <alignment horizontal="center" vertical="top" wrapText="1"/>
      <protection locked="0"/>
    </xf>
    <xf numFmtId="0" fontId="82" fillId="0" borderId="158" xfId="0" applyFont="1" applyBorder="1" applyAlignment="1" applyProtection="1">
      <alignment vertical="top" wrapText="1"/>
      <protection locked="0"/>
    </xf>
    <xf numFmtId="0" fontId="79" fillId="0" borderId="157" xfId="0" applyFont="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3"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83" fillId="5" borderId="85" xfId="0" applyFont="1" applyFill="1" applyBorder="1" applyAlignment="1" applyProtection="1">
      <alignment horizontal="left" vertical="center"/>
      <protection locked="0"/>
    </xf>
    <xf numFmtId="0" fontId="282" fillId="5" borderId="13" xfId="0" applyFont="1" applyFill="1" applyBorder="1" applyAlignment="1" applyProtection="1">
      <alignment horizontal="left" vertical="center"/>
      <protection locked="0"/>
    </xf>
  </cellXfs>
  <cellStyles count="21">
    <cellStyle name="百分比" xfId="20" builtinId="5"/>
    <cellStyle name="百分比 2" xfId="14"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7" builtinId="3"/>
    <cellStyle name="千位分隔 2" xfId="19" xr:uid="{00000000-0005-0000-0000-000014000000}"/>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81512</xdr:rowOff>
    </xdr:from>
    <xdr:to>
      <xdr:col>6</xdr:col>
      <xdr:colOff>340536</xdr:colOff>
      <xdr:row>54</xdr:row>
      <xdr:rowOff>108858</xdr:rowOff>
    </xdr:to>
    <xdr:pic>
      <xdr:nvPicPr>
        <xdr:cNvPr id="2" name="图片 1">
          <a:extLst>
            <a:ext uri="{FF2B5EF4-FFF2-40B4-BE49-F238E27FC236}">
              <a16:creationId xmlns:a16="http://schemas.microsoft.com/office/drawing/2014/main" id="{E94DEA24-9CC7-2B43-8BFF-E189FA5B2736}"/>
            </a:ext>
          </a:extLst>
        </xdr:cNvPr>
        <xdr:cNvPicPr>
          <a:picLocks noChangeAspect="1"/>
        </xdr:cNvPicPr>
      </xdr:nvPicPr>
      <xdr:blipFill>
        <a:blip xmlns:r="http://schemas.openxmlformats.org/officeDocument/2006/relationships" r:embed="rId1"/>
        <a:stretch>
          <a:fillRect/>
        </a:stretch>
      </xdr:blipFill>
      <xdr:spPr>
        <a:xfrm>
          <a:off x="0" y="5016369"/>
          <a:ext cx="8123822" cy="5833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647700</xdr:colOff>
      <xdr:row>7</xdr:row>
      <xdr:rowOff>88900</xdr:rowOff>
    </xdr:from>
    <xdr:to>
      <xdr:col>13</xdr:col>
      <xdr:colOff>393700</xdr:colOff>
      <xdr:row>32</xdr:row>
      <xdr:rowOff>148167</xdr:rowOff>
    </xdr:to>
    <xdr:pic>
      <xdr:nvPicPr>
        <xdr:cNvPr id="2" name="图片 1">
          <a:extLst>
            <a:ext uri="{FF2B5EF4-FFF2-40B4-BE49-F238E27FC236}">
              <a16:creationId xmlns:a16="http://schemas.microsoft.com/office/drawing/2014/main" id="{1D0C1ED8-45AF-AF48-B7BD-B8D0FC521ED0}"/>
            </a:ext>
          </a:extLst>
        </xdr:cNvPr>
        <xdr:cNvPicPr>
          <a:picLocks noChangeAspect="1"/>
        </xdr:cNvPicPr>
      </xdr:nvPicPr>
      <xdr:blipFill>
        <a:blip xmlns:r="http://schemas.openxmlformats.org/officeDocument/2006/relationships" r:embed="rId1"/>
        <a:stretch>
          <a:fillRect/>
        </a:stretch>
      </xdr:blipFill>
      <xdr:spPr>
        <a:xfrm>
          <a:off x="3136900" y="1333500"/>
          <a:ext cx="8043333" cy="4546600"/>
        </a:xfrm>
        <a:prstGeom prst="rect">
          <a:avLst/>
        </a:prstGeom>
      </xdr:spPr>
    </xdr:pic>
    <xdr:clientData/>
  </xdr:twoCellAnchor>
  <xdr:twoCellAnchor>
    <xdr:from>
      <xdr:col>9</xdr:col>
      <xdr:colOff>12700</xdr:colOff>
      <xdr:row>26</xdr:row>
      <xdr:rowOff>127000</xdr:rowOff>
    </xdr:from>
    <xdr:to>
      <xdr:col>9</xdr:col>
      <xdr:colOff>508000</xdr:colOff>
      <xdr:row>29</xdr:row>
      <xdr:rowOff>88900</xdr:rowOff>
    </xdr:to>
    <xdr:sp macro="" textlink="">
      <xdr:nvSpPr>
        <xdr:cNvPr id="3" name="五角星 2">
          <a:extLst>
            <a:ext uri="{FF2B5EF4-FFF2-40B4-BE49-F238E27FC236}">
              <a16:creationId xmlns:a16="http://schemas.microsoft.com/office/drawing/2014/main" id="{00E2EA0D-03B9-1440-A2F7-25110F06B2C0}"/>
            </a:ext>
          </a:extLst>
        </xdr:cNvPr>
        <xdr:cNvSpPr/>
      </xdr:nvSpPr>
      <xdr:spPr>
        <a:xfrm>
          <a:off x="7442200" y="4749800"/>
          <a:ext cx="495300" cy="495300"/>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solidFill>
              <a:srgbClr val="C00000"/>
            </a:solidFill>
          </a:endParaRPr>
        </a:p>
      </xdr:txBody>
    </xdr:sp>
    <xdr:clientData/>
  </xdr:twoCellAnchor>
  <xdr:twoCellAnchor>
    <xdr:from>
      <xdr:col>6</xdr:col>
      <xdr:colOff>687738</xdr:colOff>
      <xdr:row>33</xdr:row>
      <xdr:rowOff>95251</xdr:rowOff>
    </xdr:from>
    <xdr:to>
      <xdr:col>12</xdr:col>
      <xdr:colOff>48859</xdr:colOff>
      <xdr:row>37</xdr:row>
      <xdr:rowOff>111126</xdr:rowOff>
    </xdr:to>
    <xdr:sp macro="" textlink="">
      <xdr:nvSpPr>
        <xdr:cNvPr id="4" name="线形标注 1 3">
          <a:extLst>
            <a:ext uri="{FF2B5EF4-FFF2-40B4-BE49-F238E27FC236}">
              <a16:creationId xmlns:a16="http://schemas.microsoft.com/office/drawing/2014/main" id="{9E3FA7F6-EAAF-C247-91B7-8C7D8321A548}"/>
            </a:ext>
          </a:extLst>
        </xdr:cNvPr>
        <xdr:cNvSpPr/>
      </xdr:nvSpPr>
      <xdr:spPr>
        <a:xfrm>
          <a:off x="5640738" y="5962651"/>
          <a:ext cx="4314121" cy="727075"/>
        </a:xfrm>
        <a:prstGeom prst="borderCallout1">
          <a:avLst>
            <a:gd name="adj1" fmla="val -33223"/>
            <a:gd name="adj2" fmla="val 70496"/>
            <a:gd name="adj3" fmla="val -189970"/>
            <a:gd name="adj4" fmla="val 58350"/>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DAJ2018017</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，江西省旅游集团，</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2018-8</a:t>
          </a:r>
        </a:p>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R2.2</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5290</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元</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776</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万</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亩，溢价</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41%</a:t>
          </a:r>
        </a:p>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1.</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与周边</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ABD</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地块统一规划；</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2.</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销售价格上限</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9500</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元</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3.</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完成耕作层剥离任务</a:t>
          </a:r>
        </a:p>
      </xdr:txBody>
    </xdr:sp>
    <xdr:clientData/>
  </xdr:twoCellAnchor>
  <xdr:twoCellAnchor>
    <xdr:from>
      <xdr:col>0</xdr:col>
      <xdr:colOff>0</xdr:colOff>
      <xdr:row>31</xdr:row>
      <xdr:rowOff>6350</xdr:rowOff>
    </xdr:from>
    <xdr:to>
      <xdr:col>6</xdr:col>
      <xdr:colOff>88901</xdr:colOff>
      <xdr:row>49</xdr:row>
      <xdr:rowOff>25400</xdr:rowOff>
    </xdr:to>
    <xdr:sp macro="" textlink="">
      <xdr:nvSpPr>
        <xdr:cNvPr id="6" name="线形标注 1 5">
          <a:extLst>
            <a:ext uri="{FF2B5EF4-FFF2-40B4-BE49-F238E27FC236}">
              <a16:creationId xmlns:a16="http://schemas.microsoft.com/office/drawing/2014/main" id="{123A2492-DACE-E744-A76B-6242C423B4BA}"/>
            </a:ext>
          </a:extLst>
        </xdr:cNvPr>
        <xdr:cNvSpPr/>
      </xdr:nvSpPr>
      <xdr:spPr>
        <a:xfrm>
          <a:off x="0" y="5518150"/>
          <a:ext cx="5041901" cy="3219450"/>
        </a:xfrm>
        <a:prstGeom prst="borderCallout1">
          <a:avLst>
            <a:gd name="adj1" fmla="val 11038"/>
            <a:gd name="adj2" fmla="val 107365"/>
            <a:gd name="adj3" fmla="val -41995"/>
            <a:gd name="adj4" fmla="val 142192"/>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DAJ2018025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，江西城高，</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2018-8</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R2.2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2343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360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0%</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商业占比</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同时竞价其他四宗地，且统一规划；</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需提供人才引进协议；</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销售上限</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8500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需负责安置房</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7.5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万平方米，十年内不得转让</a:t>
          </a:r>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DAJ2019023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，江西凌鸿克置业，</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2019-6</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R2.2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1915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281</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0%</a:t>
          </a:r>
        </a:p>
        <a:p>
          <a:pPr marL="0" marR="0" lvl="0" indent="0" algn="l" defTabSz="914400" eaLnBrk="1" fontAlgn="auto" latinLnBrk="0" hangingPunct="1">
            <a:lnSpc>
              <a:spcPct val="100000"/>
            </a:lnSpc>
            <a:spcBef>
              <a:spcPts val="0"/>
            </a:spcBef>
            <a:spcAft>
              <a:spcPts val="0"/>
            </a:spcAft>
            <a:buClrTx/>
            <a:buSzTx/>
            <a:buFontTx/>
            <a:buNone/>
            <a:tabLst/>
            <a:defRPr/>
          </a:pP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完成耕作层剥离任务；</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需签订</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项目配套供货合同</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采用一体化装配式装修；</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普通住宅</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144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平米比例不少于</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70%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9500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6.</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商业占比</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11%</a:t>
          </a:r>
        </a:p>
        <a:p>
          <a:pPr algn="l"/>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DAJ2019053</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，金茂，</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2019-12</a:t>
          </a:r>
        </a:p>
        <a:p>
          <a:pPr algn="l"/>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R2.2</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4125</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元</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605</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万</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a:t>
          </a:r>
          <a:r>
            <a:rPr lang="zh-CN" altLang="en-US" sz="800" b="1" i="0" u="none" strike="noStrike">
              <a:solidFill>
                <a:srgbClr val="C00000"/>
              </a:solidFill>
              <a:effectLst/>
              <a:latin typeface="Microsoft YaHei" panose="020B0503020204020204" pitchFamily="34" charset="-122"/>
              <a:ea typeface="Microsoft YaHei" panose="020B0503020204020204" pitchFamily="34" charset="-122"/>
              <a:cs typeface="+mn-cs"/>
            </a:rPr>
            <a:t>亩，溢价</a:t>
          </a:r>
          <a:r>
            <a:rPr lang="en-US" altLang="zh-CN" sz="800" b="1" i="0" u="none" strike="noStrike">
              <a:solidFill>
                <a:srgbClr val="C00000"/>
              </a:solidFill>
              <a:effectLst/>
              <a:latin typeface="Microsoft YaHei" panose="020B0503020204020204" pitchFamily="34" charset="-122"/>
              <a:ea typeface="Microsoft YaHei" panose="020B0503020204020204" pitchFamily="34" charset="-122"/>
              <a:cs typeface="+mn-cs"/>
            </a:rPr>
            <a:t>18%</a:t>
          </a:r>
        </a:p>
        <a:p>
          <a:pPr algn="l"/>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DAJ2018028</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，江西城高，</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2018-8</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R2.2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2454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360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0%</a:t>
          </a:r>
        </a:p>
        <a:p>
          <a:pPr algn="l"/>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商业占比</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18%</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同时竞价其他四宗地，且统一规划；</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3.</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需提供人才引进协议；</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4.</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销售上限</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8500</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需负责安置房</a:t>
          </a:r>
          <a:r>
            <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rPr>
            <a:t>7.5</a:t>
          </a:r>
          <a:r>
            <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rPr>
            <a:t>万平方米，十年内不得转让</a:t>
          </a:r>
          <a:endParaRPr lang="en-US" altLang="zh-CN"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a:p>
          <a:pPr algn="l"/>
          <a:endParaRPr lang="zh-CN" altLang="en-US" sz="800" b="0" i="0" u="none" strike="noStrike">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0</xdr:col>
      <xdr:colOff>0</xdr:colOff>
      <xdr:row>19</xdr:row>
      <xdr:rowOff>79377</xdr:rowOff>
    </xdr:from>
    <xdr:to>
      <xdr:col>6</xdr:col>
      <xdr:colOff>88901</xdr:colOff>
      <xdr:row>31</xdr:row>
      <xdr:rowOff>15877</xdr:rowOff>
    </xdr:to>
    <xdr:sp macro="" textlink="">
      <xdr:nvSpPr>
        <xdr:cNvPr id="7" name="线形标注 1 6">
          <a:extLst>
            <a:ext uri="{FF2B5EF4-FFF2-40B4-BE49-F238E27FC236}">
              <a16:creationId xmlns:a16="http://schemas.microsoft.com/office/drawing/2014/main" id="{72A8020F-80C6-9044-95FB-FBF0DE7D9044}"/>
            </a:ext>
          </a:extLst>
        </xdr:cNvPr>
        <xdr:cNvSpPr/>
      </xdr:nvSpPr>
      <xdr:spPr>
        <a:xfrm>
          <a:off x="0" y="3397252"/>
          <a:ext cx="5041901" cy="2032000"/>
        </a:xfrm>
        <a:prstGeom prst="borderCallout1">
          <a:avLst>
            <a:gd name="adj1" fmla="val 32901"/>
            <a:gd name="adj2" fmla="val 106532"/>
            <a:gd name="adj3" fmla="val 13083"/>
            <a:gd name="adj4" fmla="val 148962"/>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DAJ2019007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，江西华东粮食农产品，</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2019-4</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2577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488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竞买人需投资建设粮食农产品现货、期货交易市场，引进国际级电子交易平台；</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销售均价上限为</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10000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普通商品住宅</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144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DAJ2018030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，江西汇源，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2018-9</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R4.2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3735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1046</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DAJ2018016</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，光明</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&amp;</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当代，</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5910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788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31%</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与周边三宗地统一规划；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销售均价上限为</a:t>
          </a:r>
          <a:r>
            <a:rPr lang="en-US" altLang="zh-CN" sz="800">
              <a:solidFill>
                <a:schemeClr val="tx1"/>
              </a:solidFill>
              <a:effectLst/>
              <a:latin typeface="Microsoft YaHei" panose="020B0503020204020204" pitchFamily="34" charset="-122"/>
              <a:ea typeface="Microsoft YaHei" panose="020B0503020204020204" pitchFamily="34" charset="-122"/>
              <a:cs typeface="+mn-cs"/>
            </a:rPr>
            <a:t>9500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完成耕作层剥离任务</a:t>
          </a:r>
        </a:p>
      </xdr:txBody>
    </xdr:sp>
    <xdr:clientData/>
  </xdr:twoCellAnchor>
  <xdr:twoCellAnchor>
    <xdr:from>
      <xdr:col>12</xdr:col>
      <xdr:colOff>59341</xdr:colOff>
      <xdr:row>26</xdr:row>
      <xdr:rowOff>81318</xdr:rowOff>
    </xdr:from>
    <xdr:to>
      <xdr:col>18</xdr:col>
      <xdr:colOff>726092</xdr:colOff>
      <xdr:row>44</xdr:row>
      <xdr:rowOff>50800</xdr:rowOff>
    </xdr:to>
    <xdr:sp macro="" textlink="">
      <xdr:nvSpPr>
        <xdr:cNvPr id="8" name="线形标注 1 7">
          <a:extLst>
            <a:ext uri="{FF2B5EF4-FFF2-40B4-BE49-F238E27FC236}">
              <a16:creationId xmlns:a16="http://schemas.microsoft.com/office/drawing/2014/main" id="{9B380408-7530-7741-935A-914B3F167E5D}"/>
            </a:ext>
          </a:extLst>
        </xdr:cNvPr>
        <xdr:cNvSpPr/>
      </xdr:nvSpPr>
      <xdr:spPr>
        <a:xfrm>
          <a:off x="9965341" y="5066068"/>
          <a:ext cx="5619751" cy="3207982"/>
        </a:xfrm>
        <a:prstGeom prst="borderCallout1">
          <a:avLst>
            <a:gd name="adj1" fmla="val 26893"/>
            <a:gd name="adj2" fmla="val -3975"/>
            <a:gd name="adj3" fmla="val -44618"/>
            <a:gd name="adj4" fmla="val -25189"/>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DAJ2018027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，江西城高，</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2454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360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商业比例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同时竞价四宗地，且统一规划；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需提供人才引进协议；</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需负责安置房</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万平方米，十年内不得转让</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DAJ2018019</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，江西润永通，</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2310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385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商业比例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，自持</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万平，自持</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年，住宅销售进度与自持商业运行进度挂钩；</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同时竞价三宗地，且统一规划；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引入一家世界</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强</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&amp;</a:t>
          </a:r>
          <a:r>
            <a:rPr lang="zh-CN" altLang="zh-CN" sz="800">
              <a:solidFill>
                <a:schemeClr val="tx1"/>
              </a:solidFill>
              <a:effectLst/>
              <a:latin typeface="Microsoft YaHei" panose="020B0503020204020204" pitchFamily="34" charset="-122"/>
              <a:ea typeface="Microsoft YaHei" panose="020B0503020204020204" pitchFamily="34" charset="-122"/>
              <a:cs typeface="+mn-cs"/>
            </a:rPr>
            <a:t>连锁百强企业；</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竞买人要求；</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竞买人需配合原使用人搬迁等工作</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DAJ2019035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，江西平安，</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2019-10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R1.8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420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商业比例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11%</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DAJ2019035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，江西平安（江西聚人堂），</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2019-10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R1.8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420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定向安置房</a:t>
          </a:r>
        </a:p>
      </xdr:txBody>
    </xdr:sp>
    <xdr:clientData/>
  </xdr:twoCellAnchor>
  <xdr:twoCellAnchor>
    <xdr:from>
      <xdr:col>12</xdr:col>
      <xdr:colOff>53826</xdr:colOff>
      <xdr:row>2</xdr:row>
      <xdr:rowOff>152399</xdr:rowOff>
    </xdr:from>
    <xdr:to>
      <xdr:col>18</xdr:col>
      <xdr:colOff>720577</xdr:colOff>
      <xdr:row>26</xdr:row>
      <xdr:rowOff>84666</xdr:rowOff>
    </xdr:to>
    <xdr:sp macro="" textlink="">
      <xdr:nvSpPr>
        <xdr:cNvPr id="9" name="线形标注 1 8">
          <a:extLst>
            <a:ext uri="{FF2B5EF4-FFF2-40B4-BE49-F238E27FC236}">
              <a16:creationId xmlns:a16="http://schemas.microsoft.com/office/drawing/2014/main" id="{290D1E88-07AE-0C48-90DB-4C7D59D0EC4C}"/>
            </a:ext>
          </a:extLst>
        </xdr:cNvPr>
        <xdr:cNvSpPr/>
      </xdr:nvSpPr>
      <xdr:spPr>
        <a:xfrm>
          <a:off x="10010626" y="507999"/>
          <a:ext cx="5645151" cy="4199467"/>
        </a:xfrm>
        <a:prstGeom prst="borderCallout1">
          <a:avLst>
            <a:gd name="adj1" fmla="val 51052"/>
            <a:gd name="adj2" fmla="val -4459"/>
            <a:gd name="adj3" fmla="val 56457"/>
            <a:gd name="adj4" fmla="val -48295"/>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DAJ2018015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，光明</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&amp;</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当代，</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6232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831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四宗地统一规划；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9500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DAJ2018018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，光明</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&amp;</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当代，</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6047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887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45%</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四宗地统一规划；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9500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DAJ2018026</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，江西城高，</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2018-8</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2454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360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商业占比</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18%</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同时竞价其他四宗地，且统一规划；</a:t>
          </a:r>
          <a:r>
            <a:rPr lang="en-US" altLang="zh-CN" sz="800">
              <a:solidFill>
                <a:schemeClr val="tx1"/>
              </a:solidFill>
              <a:effectLst/>
              <a:latin typeface="Microsoft YaHei" panose="020B0503020204020204" pitchFamily="34" charset="-122"/>
              <a:ea typeface="Microsoft YaHei" panose="020B0503020204020204" pitchFamily="34" charset="-122"/>
              <a:cs typeface="+mn-cs"/>
            </a:rPr>
            <a:t>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需提供人才引进协议；</a:t>
          </a:r>
          <a:r>
            <a:rPr lang="en-US" altLang="zh-CN" sz="800">
              <a:solidFill>
                <a:schemeClr val="tx1"/>
              </a:solidFill>
              <a:effectLst/>
              <a:latin typeface="Microsoft YaHei" panose="020B0503020204020204" pitchFamily="34" charset="-122"/>
              <a:ea typeface="Microsoft YaHei" panose="020B0503020204020204" pitchFamily="34" charset="-122"/>
              <a:cs typeface="+mn-cs"/>
            </a:rPr>
            <a:t>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8500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需负责安置房</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万平方米，十年内不得转让</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DAJ2019003</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，正荣，</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2019-3</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7404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1085</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65%</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10000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普通商品住宅</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144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DAJ2019017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，南昌鸿海，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2019-6</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R2.2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6321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a:t>
          </a:r>
          <a:r>
            <a:rPr lang="en-US" altLang="zh-CN" sz="800">
              <a:solidFill>
                <a:schemeClr val="tx1"/>
              </a:solidFill>
              <a:effectLst/>
              <a:latin typeface="Microsoft YaHei" panose="020B0503020204020204" pitchFamily="34" charset="-122"/>
              <a:ea typeface="Microsoft YaHei" panose="020B0503020204020204" pitchFamily="34" charset="-122"/>
              <a:cs typeface="+mn-cs"/>
            </a:rPr>
            <a:t>927</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万</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亩，溢价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54%</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zh-CN" sz="800">
              <a:solidFill>
                <a:schemeClr val="tx1"/>
              </a:solidFill>
              <a:effectLst/>
              <a:latin typeface="Microsoft YaHei" panose="020B0503020204020204" pitchFamily="34" charset="-122"/>
              <a:ea typeface="Microsoft YaHei" panose="020B0503020204020204" pitchFamily="34" charset="-122"/>
              <a:cs typeface="+mn-cs"/>
            </a:rPr>
            <a:t>销售均价上限</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10000</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zh-CN" sz="800">
              <a:solidFill>
                <a:schemeClr val="tx1"/>
              </a:solidFill>
              <a:effectLst/>
              <a:latin typeface="Microsoft YaHei" panose="020B0503020204020204" pitchFamily="34" charset="-122"/>
              <a:ea typeface="Microsoft YaHei" panose="020B0503020204020204" pitchFamily="34" charset="-122"/>
              <a:cs typeface="+mn-cs"/>
            </a:rPr>
            <a:t>普通商品住宅</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144</a:t>
          </a:r>
          <a:r>
            <a:rPr lang="zh-CN" altLang="zh-CN" sz="800">
              <a:solidFill>
                <a:schemeClr val="tx1"/>
              </a:solidFill>
              <a:effectLst/>
              <a:latin typeface="Microsoft YaHei" panose="020B0503020204020204" pitchFamily="34" charset="-122"/>
              <a:ea typeface="Microsoft YaHei" panose="020B0503020204020204" pitchFamily="34" charset="-122"/>
              <a:cs typeface="+mn-cs"/>
            </a:rPr>
            <a:t>平方米比例</a:t>
          </a:r>
          <a:r>
            <a:rPr lang="en-US" altLang="zh-CN" sz="800">
              <a:solidFill>
                <a:schemeClr val="tx1"/>
              </a:solidFill>
              <a:effectLst/>
              <a:latin typeface="Microsoft YaHei" panose="020B0503020204020204" pitchFamily="34" charset="-122"/>
              <a:ea typeface="Microsoft YaHei" panose="020B0503020204020204" pitchFamily="34" charset="-122"/>
              <a:cs typeface="+mn-cs"/>
            </a:rPr>
            <a:t>70%</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 </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b="1">
              <a:solidFill>
                <a:srgbClr val="C00000"/>
              </a:solidFill>
              <a:effectLst/>
              <a:latin typeface="Microsoft YaHei" panose="020B0503020204020204" pitchFamily="34" charset="-122"/>
              <a:ea typeface="Microsoft YaHei" panose="020B0503020204020204" pitchFamily="34" charset="-122"/>
              <a:cs typeface="+mn-cs"/>
            </a:rPr>
            <a:t>DAJ2019058</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，个人，</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2019-12</a:t>
          </a:r>
          <a:endParaRPr lang="zh-CN" altLang="zh-CN" sz="800" b="1">
            <a:solidFill>
              <a:srgbClr val="C00000"/>
            </a:solidFill>
            <a:effectLst/>
            <a:latin typeface="Microsoft YaHei" panose="020B0503020204020204" pitchFamily="34" charset="-122"/>
            <a:ea typeface="Microsoft YaHei" panose="020B0503020204020204" pitchFamily="34" charset="-122"/>
            <a:cs typeface="+mn-cs"/>
          </a:endParaRPr>
        </a:p>
        <a:p>
          <a:r>
            <a:rPr lang="en-US" altLang="zh-CN" sz="800" b="1">
              <a:solidFill>
                <a:srgbClr val="C00000"/>
              </a:solidFill>
              <a:effectLst/>
              <a:latin typeface="Microsoft YaHei" panose="020B0503020204020204" pitchFamily="34" charset="-122"/>
              <a:ea typeface="Microsoft YaHei" panose="020B0503020204020204" pitchFamily="34" charset="-122"/>
              <a:cs typeface="+mn-cs"/>
            </a:rPr>
            <a:t>R2</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4837</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元</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645</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万</a:t>
          </a:r>
          <a:r>
            <a:rPr lang="en-US" altLang="zh-CN" sz="800" b="1">
              <a:solidFill>
                <a:srgbClr val="C00000"/>
              </a:solidFill>
              <a:effectLst/>
              <a:latin typeface="Microsoft YaHei" panose="020B0503020204020204" pitchFamily="34" charset="-122"/>
              <a:ea typeface="Microsoft YaHei" panose="020B0503020204020204" pitchFamily="34" charset="-122"/>
              <a:cs typeface="+mn-cs"/>
            </a:rPr>
            <a:t>/</a:t>
          </a:r>
          <a:r>
            <a:rPr lang="zh-CN" altLang="zh-CN" sz="800" b="1">
              <a:solidFill>
                <a:srgbClr val="C00000"/>
              </a:solidFill>
              <a:effectLst/>
              <a:latin typeface="Microsoft YaHei" panose="020B0503020204020204" pitchFamily="34" charset="-122"/>
              <a:ea typeface="Microsoft YaHei" panose="020B0503020204020204" pitchFamily="34" charset="-122"/>
              <a:cs typeface="+mn-cs"/>
            </a:rPr>
            <a:t>亩</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220519</xdr:colOff>
      <xdr:row>5</xdr:row>
      <xdr:rowOff>23091</xdr:rowOff>
    </xdr:from>
    <xdr:to>
      <xdr:col>15</xdr:col>
      <xdr:colOff>182419</xdr:colOff>
      <xdr:row>45</xdr:row>
      <xdr:rowOff>150091</xdr:rowOff>
    </xdr:to>
    <xdr:pic>
      <xdr:nvPicPr>
        <xdr:cNvPr id="2" name="图片 1">
          <a:extLst>
            <a:ext uri="{FF2B5EF4-FFF2-40B4-BE49-F238E27FC236}">
              <a16:creationId xmlns:a16="http://schemas.microsoft.com/office/drawing/2014/main" id="{EF9AF03D-6EB3-C445-9B78-48597EB83227}"/>
            </a:ext>
          </a:extLst>
        </xdr:cNvPr>
        <xdr:cNvPicPr>
          <a:picLocks noChangeAspect="1"/>
        </xdr:cNvPicPr>
      </xdr:nvPicPr>
      <xdr:blipFill>
        <a:blip xmlns:r="http://schemas.openxmlformats.org/officeDocument/2006/relationships" r:embed="rId1"/>
        <a:stretch>
          <a:fillRect/>
        </a:stretch>
      </xdr:blipFill>
      <xdr:spPr>
        <a:xfrm>
          <a:off x="2714337" y="889000"/>
          <a:ext cx="9937173" cy="7054273"/>
        </a:xfrm>
        <a:prstGeom prst="rect">
          <a:avLst/>
        </a:prstGeom>
      </xdr:spPr>
    </xdr:pic>
    <xdr:clientData/>
  </xdr:twoCellAnchor>
  <xdr:twoCellAnchor>
    <xdr:from>
      <xdr:col>13</xdr:col>
      <xdr:colOff>166255</xdr:colOff>
      <xdr:row>41</xdr:row>
      <xdr:rowOff>151246</xdr:rowOff>
    </xdr:from>
    <xdr:to>
      <xdr:col>14</xdr:col>
      <xdr:colOff>547255</xdr:colOff>
      <xdr:row>45</xdr:row>
      <xdr:rowOff>11546</xdr:rowOff>
    </xdr:to>
    <xdr:sp macro="" textlink="">
      <xdr:nvSpPr>
        <xdr:cNvPr id="5" name="线形标注 1 4">
          <a:extLst>
            <a:ext uri="{FF2B5EF4-FFF2-40B4-BE49-F238E27FC236}">
              <a16:creationId xmlns:a16="http://schemas.microsoft.com/office/drawing/2014/main" id="{281CCEC0-4698-454D-A3C8-66849F2AB30C}"/>
            </a:ext>
          </a:extLst>
        </xdr:cNvPr>
        <xdr:cNvSpPr/>
      </xdr:nvSpPr>
      <xdr:spPr>
        <a:xfrm>
          <a:off x="10972800" y="7251701"/>
          <a:ext cx="1212273" cy="553027"/>
        </a:xfrm>
        <a:prstGeom prst="borderCallout1">
          <a:avLst>
            <a:gd name="adj1" fmla="val 26893"/>
            <a:gd name="adj2" fmla="val -3975"/>
            <a:gd name="adj3" fmla="val 28985"/>
            <a:gd name="adj4" fmla="val -10252"/>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住宅底商：</a:t>
          </a:r>
          <a:r>
            <a:rPr lang="en-US" altLang="zh-CN" sz="800">
              <a:solidFill>
                <a:schemeClr val="tx1"/>
              </a:solidFill>
              <a:effectLst/>
              <a:latin typeface="Microsoft YaHei" panose="020B0503020204020204" pitchFamily="34" charset="-122"/>
              <a:ea typeface="Microsoft YaHei" panose="020B0503020204020204" pitchFamily="34" charset="-122"/>
              <a:cs typeface="+mn-cs"/>
            </a:rPr>
            <a:t>20000</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a:solidFill>
                <a:schemeClr val="tx1"/>
              </a:solidFill>
              <a:effectLst/>
              <a:latin typeface="Microsoft YaHei" panose="020B0503020204020204" pitchFamily="34" charset="-122"/>
              <a:ea typeface="Microsoft YaHei" panose="020B0503020204020204" pitchFamily="34" charset="-122"/>
              <a:cs typeface="+mn-cs"/>
            </a:rPr>
            <a:t>洋房：毛坯</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10500</a:t>
          </a:r>
        </a:p>
        <a:p>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12</xdr:col>
      <xdr:colOff>681182</xdr:colOff>
      <xdr:row>26</xdr:row>
      <xdr:rowOff>23092</xdr:rowOff>
    </xdr:from>
    <xdr:to>
      <xdr:col>14</xdr:col>
      <xdr:colOff>588818</xdr:colOff>
      <xdr:row>29</xdr:row>
      <xdr:rowOff>150092</xdr:rowOff>
    </xdr:to>
    <xdr:sp macro="" textlink="">
      <xdr:nvSpPr>
        <xdr:cNvPr id="6" name="线形标注 1 5">
          <a:extLst>
            <a:ext uri="{FF2B5EF4-FFF2-40B4-BE49-F238E27FC236}">
              <a16:creationId xmlns:a16="http://schemas.microsoft.com/office/drawing/2014/main" id="{E8988972-40D4-B94E-A1A9-B9240BD00B6C}"/>
            </a:ext>
          </a:extLst>
        </xdr:cNvPr>
        <xdr:cNvSpPr/>
      </xdr:nvSpPr>
      <xdr:spPr>
        <a:xfrm>
          <a:off x="10656455" y="4525819"/>
          <a:ext cx="1570181" cy="646546"/>
        </a:xfrm>
        <a:prstGeom prst="borderCallout1">
          <a:avLst>
            <a:gd name="adj1" fmla="val 26893"/>
            <a:gd name="adj2" fmla="val -3975"/>
            <a:gd name="adj3" fmla="val -18626"/>
            <a:gd name="adj4" fmla="val -12171"/>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外街商铺均价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19000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，内街商铺均价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15000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公寓均价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6500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9</xdr:col>
      <xdr:colOff>312882</xdr:colOff>
      <xdr:row>20</xdr:row>
      <xdr:rowOff>23091</xdr:rowOff>
    </xdr:from>
    <xdr:to>
      <xdr:col>11</xdr:col>
      <xdr:colOff>392545</xdr:colOff>
      <xdr:row>23</xdr:row>
      <xdr:rowOff>150091</xdr:rowOff>
    </xdr:to>
    <xdr:sp macro="" textlink="">
      <xdr:nvSpPr>
        <xdr:cNvPr id="7" name="线形标注 1 6">
          <a:extLst>
            <a:ext uri="{FF2B5EF4-FFF2-40B4-BE49-F238E27FC236}">
              <a16:creationId xmlns:a16="http://schemas.microsoft.com/office/drawing/2014/main" id="{F4899DE3-5E55-4349-98D7-4BBF28B96C0F}"/>
            </a:ext>
          </a:extLst>
        </xdr:cNvPr>
        <xdr:cNvSpPr/>
      </xdr:nvSpPr>
      <xdr:spPr>
        <a:xfrm>
          <a:off x="7794337" y="3486727"/>
          <a:ext cx="1742208" cy="646546"/>
        </a:xfrm>
        <a:prstGeom prst="borderCallout1">
          <a:avLst>
            <a:gd name="adj1" fmla="val 26893"/>
            <a:gd name="adj2" fmla="val -3975"/>
            <a:gd name="adj3" fmla="val -18626"/>
            <a:gd name="adj4" fmla="val -12171"/>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毛坯，高层均价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10800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平米</a:t>
          </a:r>
          <a:endParaRPr lang="en-US" altLang="zh-CN" sz="800">
            <a:solidFill>
              <a:schemeClr val="tx1"/>
            </a:solidFill>
            <a:effectLst/>
            <a:latin typeface="Microsoft YaHei" panose="020B0503020204020204" pitchFamily="34" charset="-122"/>
            <a:ea typeface="Microsoft YaHei" panose="020B0503020204020204" pitchFamily="34" charset="-122"/>
            <a:cs typeface="+mn-cs"/>
          </a:endParaRPr>
        </a:p>
        <a:p>
          <a:r>
            <a:rPr lang="en-US" altLang="zh-CN" sz="800">
              <a:solidFill>
                <a:schemeClr val="tx1"/>
              </a:solidFill>
              <a:effectLst/>
              <a:latin typeface="Microsoft YaHei" panose="020B0503020204020204" pitchFamily="34" charset="-122"/>
              <a:ea typeface="Microsoft YaHei" panose="020B0503020204020204" pitchFamily="34" charset="-122"/>
              <a:cs typeface="+mn-cs"/>
            </a:rPr>
            <a:t>2.</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别墅现房均价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15000-20000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平米</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12</xdr:col>
      <xdr:colOff>197428</xdr:colOff>
      <xdr:row>11</xdr:row>
      <xdr:rowOff>161636</xdr:rowOff>
    </xdr:from>
    <xdr:to>
      <xdr:col>14</xdr:col>
      <xdr:colOff>277091</xdr:colOff>
      <xdr:row>15</xdr:row>
      <xdr:rowOff>34637</xdr:rowOff>
    </xdr:to>
    <xdr:sp macro="" textlink="">
      <xdr:nvSpPr>
        <xdr:cNvPr id="8" name="线形标注 1 7">
          <a:extLst>
            <a:ext uri="{FF2B5EF4-FFF2-40B4-BE49-F238E27FC236}">
              <a16:creationId xmlns:a16="http://schemas.microsoft.com/office/drawing/2014/main" id="{5DA8628A-E3E7-1540-96BB-02BA7A27AEFD}"/>
            </a:ext>
          </a:extLst>
        </xdr:cNvPr>
        <xdr:cNvSpPr/>
      </xdr:nvSpPr>
      <xdr:spPr>
        <a:xfrm>
          <a:off x="10172701" y="2066636"/>
          <a:ext cx="1742208" cy="565728"/>
        </a:xfrm>
        <a:prstGeom prst="borderCallout1">
          <a:avLst>
            <a:gd name="adj1" fmla="val 26893"/>
            <a:gd name="adj2" fmla="val -3975"/>
            <a:gd name="adj3" fmla="val 15303"/>
            <a:gd name="adj4" fmla="val -12171"/>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带装修，高层面积段为</a:t>
          </a:r>
          <a:r>
            <a:rPr lang="en-US" altLang="zh-CN" sz="800">
              <a:solidFill>
                <a:schemeClr val="tx1"/>
              </a:solidFill>
              <a:effectLst/>
              <a:latin typeface="Microsoft YaHei" panose="020B0503020204020204" pitchFamily="34" charset="-122"/>
              <a:ea typeface="Microsoft YaHei" panose="020B0503020204020204" pitchFamily="34" charset="-122"/>
              <a:cs typeface="+mn-cs"/>
            </a:rPr>
            <a:t>89-115㎡</a:t>
          </a:r>
          <a:r>
            <a:rPr lang="zh-CN" altLang="en-US" sz="800">
              <a:solidFill>
                <a:schemeClr val="tx1"/>
              </a:solidFill>
              <a:effectLst/>
              <a:latin typeface="Microsoft YaHei" panose="020B0503020204020204" pitchFamily="34" charset="-122"/>
              <a:ea typeface="Microsoft YaHei" panose="020B0503020204020204" pitchFamily="34" charset="-122"/>
              <a:cs typeface="+mn-cs"/>
            </a:rPr>
            <a:t>户型，均价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11500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twoCellAnchor>
    <xdr:from>
      <xdr:col>6</xdr:col>
      <xdr:colOff>497611</xdr:colOff>
      <xdr:row>9</xdr:row>
      <xdr:rowOff>0</xdr:rowOff>
    </xdr:from>
    <xdr:to>
      <xdr:col>8</xdr:col>
      <xdr:colOff>577273</xdr:colOff>
      <xdr:row>11</xdr:row>
      <xdr:rowOff>80819</xdr:rowOff>
    </xdr:to>
    <xdr:sp macro="" textlink="">
      <xdr:nvSpPr>
        <xdr:cNvPr id="9" name="线形标注 1 8">
          <a:extLst>
            <a:ext uri="{FF2B5EF4-FFF2-40B4-BE49-F238E27FC236}">
              <a16:creationId xmlns:a16="http://schemas.microsoft.com/office/drawing/2014/main" id="{C945AC9F-73F3-5B4F-B09F-0B5237E20B02}"/>
            </a:ext>
          </a:extLst>
        </xdr:cNvPr>
        <xdr:cNvSpPr/>
      </xdr:nvSpPr>
      <xdr:spPr>
        <a:xfrm>
          <a:off x="5485247" y="1558636"/>
          <a:ext cx="1742208" cy="427183"/>
        </a:xfrm>
        <a:prstGeom prst="borderCallout1">
          <a:avLst>
            <a:gd name="adj1" fmla="val 16689"/>
            <a:gd name="adj2" fmla="val 103381"/>
            <a:gd name="adj3" fmla="val -57670"/>
            <a:gd name="adj4" fmla="val 96511"/>
          </a:avLst>
        </a:prstGeom>
        <a:solidFill>
          <a:schemeClr val="bg1"/>
        </a:solidFill>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800">
              <a:solidFill>
                <a:schemeClr val="tx1"/>
              </a:solidFill>
              <a:effectLst/>
              <a:latin typeface="Microsoft YaHei" panose="020B0503020204020204" pitchFamily="34" charset="-122"/>
              <a:ea typeface="Microsoft YaHei" panose="020B0503020204020204" pitchFamily="34" charset="-122"/>
              <a:cs typeface="+mn-cs"/>
            </a:rPr>
            <a:t>1.</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带装修，高层均价</a:t>
          </a:r>
          <a:r>
            <a:rPr lang="en-US" altLang="zh-CN" sz="800">
              <a:solidFill>
                <a:schemeClr val="tx1"/>
              </a:solidFill>
              <a:effectLst/>
              <a:latin typeface="Microsoft YaHei" panose="020B0503020204020204" pitchFamily="34" charset="-122"/>
              <a:ea typeface="Microsoft YaHei" panose="020B0503020204020204" pitchFamily="34" charset="-122"/>
              <a:cs typeface="+mn-cs"/>
            </a:rPr>
            <a:t>13000</a:t>
          </a:r>
          <a:r>
            <a:rPr lang="zh-CN" altLang="en-US" sz="800">
              <a:solidFill>
                <a:schemeClr val="tx1"/>
              </a:solidFill>
              <a:effectLst/>
              <a:latin typeface="Microsoft YaHei" panose="020B0503020204020204" pitchFamily="34" charset="-122"/>
              <a:ea typeface="Microsoft YaHei" panose="020B0503020204020204" pitchFamily="34" charset="-122"/>
              <a:cs typeface="+mn-cs"/>
            </a:rPr>
            <a:t>元</a:t>
          </a:r>
          <a:r>
            <a:rPr lang="en-US" altLang="zh-CN" sz="800">
              <a:solidFill>
                <a:schemeClr val="tx1"/>
              </a:solidFill>
              <a:effectLst/>
              <a:latin typeface="Microsoft YaHei" panose="020B0503020204020204" pitchFamily="34" charset="-122"/>
              <a:ea typeface="Microsoft YaHei" panose="020B0503020204020204" pitchFamily="34" charset="-122"/>
              <a:cs typeface="+mn-cs"/>
            </a:rPr>
            <a:t>/㎡</a:t>
          </a:r>
          <a:r>
            <a:rPr lang="zh-CN" altLang="en-US" sz="800">
              <a:solidFill>
                <a:schemeClr val="tx1"/>
              </a:solidFill>
              <a:effectLst/>
              <a:latin typeface="Microsoft YaHei" panose="020B0503020204020204" pitchFamily="34" charset="-122"/>
              <a:ea typeface="Microsoft YaHei" panose="020B0503020204020204" pitchFamily="34" charset="-122"/>
              <a:cs typeface="+mn-cs"/>
            </a:rPr>
            <a:t>。</a:t>
          </a:r>
          <a:endParaRPr lang="zh-CN" altLang="zh-CN" sz="800">
            <a:solidFill>
              <a:schemeClr val="tx1"/>
            </a:solidFill>
            <a:effectLst/>
            <a:latin typeface="Microsoft YaHei" panose="020B0503020204020204" pitchFamily="34" charset="-122"/>
            <a:ea typeface="Microsoft YaHei" panose="020B0503020204020204" pitchFamily="34" charset="-122"/>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6124;&#65288;&#22312;&#24314;-&#20303;&#23429;&#6528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6124;&#65288;&#22303;&#22320;-&#21830;&#1999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35;&#26124;&#65288;&#22312;&#24314;-&#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335;&#26124;&#65288;&#22312;&#24314;-&#25991;&#2605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Sheet1"/>
      <sheetName val="Sheet3"/>
      <sheetName val="FGH地块预售情况"/>
      <sheetName val="南昌茵梦湖五证信息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土地案例（南昌县-住宅）"/>
      <sheetName val="选取案例-住宅"/>
      <sheetName val="土地比较法-商业"/>
      <sheetName val="土地案例（南昌县-商业）"/>
      <sheetName val="假设开发法"/>
      <sheetName val="现房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6">
          <cell r="M16">
            <v>27331</v>
          </cell>
        </row>
      </sheetData>
      <sheetData sheetId="19"/>
      <sheetData sheetId="20">
        <row r="14">
          <cell r="B14">
            <v>84852.819999999876</v>
          </cell>
          <cell r="C14">
            <v>0</v>
          </cell>
          <cell r="D14">
            <v>58899</v>
          </cell>
        </row>
      </sheetData>
      <sheetData sheetId="21">
        <row r="97">
          <cell r="C97">
            <v>12761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汇总"/>
      <sheetName val="建设单位-地块-组团-楼栋面积明细表"/>
      <sheetName val="工程规划"/>
      <sheetName val="Sheet3"/>
      <sheetName val="FGH地块预售情况"/>
      <sheetName val="五证办理进度"/>
      <sheetName val="南昌茵梦湖五证信息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土地案例（南昌县-住宅）"/>
      <sheetName val="选取案例-住宅"/>
      <sheetName val="土地比较法-商业"/>
      <sheetName val="土地案例（南昌县-商业）"/>
      <sheetName val="假设开发法"/>
      <sheetName val="现房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6">
          <cell r="M16">
            <v>60617</v>
          </cell>
        </row>
      </sheetData>
      <sheetData sheetId="22"/>
      <sheetData sheetId="23">
        <row r="14">
          <cell r="B14">
            <v>189062.08999999997</v>
          </cell>
          <cell r="C14">
            <v>97035.24</v>
          </cell>
          <cell r="D14">
            <v>14356</v>
          </cell>
        </row>
      </sheetData>
      <sheetData sheetId="24">
        <row r="97">
          <cell r="C97">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汇总"/>
      <sheetName val="建设单位-地块-组团-楼栋面积明细表"/>
      <sheetName val="工程规划"/>
      <sheetName val="Sheet3"/>
      <sheetName val="FGH地块预售情况"/>
      <sheetName val="五证办理进度"/>
      <sheetName val="南昌茵梦湖五证信息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土地案例（南昌县-住宅）"/>
      <sheetName val="选取案例-住宅"/>
      <sheetName val="土地比较法-商业"/>
      <sheetName val="土地案例（南昌县-商业）"/>
      <sheetName val="假设开发法"/>
      <sheetName val="现房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6">
          <cell r="M16">
            <v>18377</v>
          </cell>
        </row>
      </sheetData>
      <sheetData sheetId="22"/>
      <sheetData sheetId="23">
        <row r="14">
          <cell r="B14">
            <v>56773.399999999994</v>
          </cell>
          <cell r="C14">
            <v>48521.760000000002</v>
          </cell>
          <cell r="D14">
            <v>9425</v>
          </cell>
        </row>
      </sheetData>
      <sheetData sheetId="24">
        <row r="97">
          <cell r="C97">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汇总"/>
      <sheetName val="建设单位-地块-组团-楼栋面积明细表"/>
      <sheetName val="工程规划"/>
      <sheetName val="Sheet3"/>
      <sheetName val="FGH地块预售情况"/>
      <sheetName val="五证办理进度"/>
      <sheetName val="南昌茵梦湖五证信息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土地案例（南昌县-住宅）"/>
      <sheetName val="选取案例-住宅"/>
      <sheetName val="土地比较法-商业"/>
      <sheetName val="土地案例（南昌县-商业）"/>
      <sheetName val="假设开发法"/>
      <sheetName val="现房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6">
          <cell r="M16">
            <v>12760</v>
          </cell>
        </row>
      </sheetData>
      <sheetData sheetId="22"/>
      <sheetData sheetId="23">
        <row r="14">
          <cell r="B14">
            <v>36457.679999999993</v>
          </cell>
          <cell r="C14">
            <v>225339</v>
          </cell>
          <cell r="D14">
            <v>14957</v>
          </cell>
        </row>
      </sheetData>
      <sheetData sheetId="24">
        <row r="97">
          <cell r="C97">
            <v>1260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3" sqref="E23"/>
    </sheetView>
  </sheetViews>
  <sheetFormatPr baseColWidth="10" defaultColWidth="9" defaultRowHeight="15"/>
  <cols>
    <col min="1" max="1" width="35.6640625" style="1583" customWidth="1"/>
    <col min="2" max="2" width="81" style="1600" customWidth="1"/>
    <col min="3" max="16384" width="9" style="1598"/>
  </cols>
  <sheetData>
    <row r="1" spans="1:2" s="1586" customFormat="1" ht="17" thickBot="1">
      <c r="A1" s="1585" t="s">
        <v>1214</v>
      </c>
      <c r="B1" s="1584" t="s">
        <v>1293</v>
      </c>
    </row>
    <row r="2" spans="1:2" s="1589" customFormat="1" ht="17" thickTop="1">
      <c r="A2" s="1587" t="s">
        <v>1215</v>
      </c>
      <c r="B2" s="1588" t="str">
        <f>'预评函-封皮'!B37:I37</f>
        <v>出让国有建设用地使用权房地产市场价值预评估</v>
      </c>
    </row>
    <row r="3" spans="1:2" s="1592" customFormat="1" ht="16">
      <c r="A3" s="1590" t="s">
        <v>1216</v>
      </c>
      <c r="B3" s="1591">
        <f>'预评函-封皮'!B40</f>
        <v>0</v>
      </c>
    </row>
    <row r="4" spans="1:2" s="1592" customFormat="1" ht="16">
      <c r="A4" s="1590" t="s">
        <v>1217</v>
      </c>
      <c r="B4" s="1591" t="str">
        <f>'预评函-封皮'!B46</f>
        <v>（注册号：0)、（注册号：0)</v>
      </c>
    </row>
    <row r="5" spans="1:2" s="1586" customFormat="1" ht="17" thickBot="1">
      <c r="A5" s="1593" t="s">
        <v>1218</v>
      </c>
      <c r="B5" s="1594" t="str">
        <f>'预评函-封皮'!B49</f>
        <v>康正预评字号</v>
      </c>
    </row>
    <row r="6" spans="1:2" s="1589" customFormat="1" ht="17" thickTop="1">
      <c r="A6" s="1587" t="s">
        <v>1219</v>
      </c>
      <c r="B6" s="1588" t="str">
        <f>'预评函-1'!A4</f>
        <v>受贵公司委托，我公司对出让国有建设用地使用权抵押价值进行了预评估。</v>
      </c>
    </row>
    <row r="7" spans="1:2" s="1592" customFormat="1" ht="16">
      <c r="A7" s="1590" t="s">
        <v>1259</v>
      </c>
      <c r="B7" s="1591" t="str">
        <f>'预评函-1'!A7</f>
        <v>估价对象为出让国有建设用地使用权，为所有。根据《国有土地使用证》[]，估价对象（分摊）出让国有建设用地使用权面积为535778.54平方米，建筑面积为993873.231平方米。</v>
      </c>
    </row>
    <row r="8" spans="1:2" s="1592" customFormat="1" ht="16">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ht="16">
      <c r="A9" s="1590" t="s">
        <v>1261</v>
      </c>
      <c r="B9" s="1591" t="str">
        <f>'预评函-1'!A10</f>
        <v>估价对象为出让国有建设用地使用权,属开发建设的，该项目尚在开发建设中。根据《国有土地使用证》[]，估价对象（分摊）出让国有建设用地使用权面积为535778.54平方米，规划建筑面积为993873.231平方米。</v>
      </c>
    </row>
    <row r="10" spans="1:2" s="1592" customFormat="1" ht="16">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ht="16">
      <c r="A11" s="1590" t="s">
        <v>1220</v>
      </c>
      <c r="B11" s="1591" t="str">
        <f>'预评函-1'!A13</f>
        <v>为估价委托人了解估价对象房地产市场价值提供参考依据。</v>
      </c>
    </row>
    <row r="12" spans="1:2" s="1592" customFormat="1" ht="16">
      <c r="A12" s="1590" t="s">
        <v>1221</v>
      </c>
      <c r="B12" s="1591" t="str">
        <f>'预评函-1'!A15</f>
        <v>2020年3月15日</v>
      </c>
    </row>
    <row r="13" spans="1:2" s="1592" customFormat="1" ht="16">
      <c r="A13" s="1590" t="s">
        <v>1222</v>
      </c>
      <c r="B13" s="1591" t="str">
        <f>'预评函-1'!A18</f>
        <v>本次估价的“房地产价值”是指在正常市场情况下，在价值时点2020年3月15日，估价对象规划用途为，土地取得方式为出让，出让国有建设用地使用权剩余土地使用年限为，假定未设立法定优先受偿款下的房地产市场价值。</v>
      </c>
    </row>
    <row r="14" spans="1:2" s="1592" customFormat="1" ht="16">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ht="16">
      <c r="A15" s="1590" t="s">
        <v>1224</v>
      </c>
      <c r="B15" s="1591" t="str">
        <f>'预评函-1'!A20</f>
        <v>——</v>
      </c>
    </row>
    <row r="16" spans="1:2" s="1592" customFormat="1" ht="16">
      <c r="A16" s="1590" t="s">
        <v>1225</v>
      </c>
      <c r="B16" s="1591" t="str">
        <f>'预评函-1'!A21</f>
        <v>——</v>
      </c>
    </row>
    <row r="17" spans="1:2" s="1592" customFormat="1" ht="16">
      <c r="A17" s="1590" t="s">
        <v>1226</v>
      </c>
      <c r="B17" s="1591" t="str">
        <f>'预评函-1'!A22</f>
        <v>——</v>
      </c>
    </row>
    <row r="18" spans="1:2" s="1586" customFormat="1" ht="17" thickBot="1">
      <c r="A18" s="1593" t="s">
        <v>1227</v>
      </c>
      <c r="B18" s="1594" t="str">
        <f>'预评函-1'!A24</f>
        <v>本次评估采用的主估价方法为比较法和假设开发法。</v>
      </c>
    </row>
    <row r="19" spans="1:2" s="1589" customFormat="1" ht="17" thickTop="1">
      <c r="A19" s="1587" t="s">
        <v>1228</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ht="16">
      <c r="A20" s="1590" t="s">
        <v>1229</v>
      </c>
      <c r="B20" s="1591">
        <f ca="1">'预评函-2'!D5</f>
        <v>315663</v>
      </c>
    </row>
    <row r="21" spans="1:2" s="1592" customFormat="1" ht="16">
      <c r="A21" s="1590" t="s">
        <v>1230</v>
      </c>
      <c r="B21" s="1591">
        <f ca="1">'预评函-2'!D7</f>
        <v>3176</v>
      </c>
    </row>
    <row r="22" spans="1:2" s="1592" customFormat="1" ht="16">
      <c r="A22" s="1590" t="s">
        <v>1231</v>
      </c>
      <c r="B22" s="1591" t="str">
        <f ca="1">'预评函-2'!D6</f>
        <v>叁拾壹亿伍仟陆佰陆拾叁万元整</v>
      </c>
    </row>
    <row r="23" spans="1:2" s="1592" customFormat="1" ht="16">
      <c r="A23" s="1590" t="s">
        <v>1282</v>
      </c>
      <c r="B23" s="1591" t="str">
        <f>'预评函-2'!B8</f>
        <v>2.估价师知悉的法定优先受偿款</v>
      </c>
    </row>
    <row r="24" spans="1:2" s="1592" customFormat="1" ht="16">
      <c r="A24" s="1590" t="s">
        <v>1288</v>
      </c>
      <c r="B24" s="1591">
        <f>'预评函-2'!D8</f>
        <v>0</v>
      </c>
    </row>
    <row r="25" spans="1:2" s="1592" customFormat="1" ht="16">
      <c r="A25" s="1590" t="s">
        <v>1232</v>
      </c>
      <c r="B25" s="1591" t="str">
        <f>'预评函-2'!D9</f>
        <v>零元整</v>
      </c>
    </row>
    <row r="26" spans="1:2" s="1592" customFormat="1" ht="16">
      <c r="A26" s="1590" t="s">
        <v>1233</v>
      </c>
      <c r="B26" s="1591">
        <f>'预评函-2'!D10</f>
        <v>0</v>
      </c>
    </row>
    <row r="27" spans="1:2" s="1592" customFormat="1" ht="16">
      <c r="A27" s="1590" t="s">
        <v>1234</v>
      </c>
      <c r="B27" s="1591">
        <f>'预评函-2'!D11</f>
        <v>0</v>
      </c>
    </row>
    <row r="28" spans="1:2" s="1592" customFormat="1" ht="16">
      <c r="A28" s="1590" t="s">
        <v>1235</v>
      </c>
      <c r="B28" s="1591">
        <f>'预评函-2'!D12</f>
        <v>0</v>
      </c>
    </row>
    <row r="29" spans="1:2" s="1592" customFormat="1" ht="16">
      <c r="A29" s="1590" t="s">
        <v>1286</v>
      </c>
      <c r="B29" s="1591" t="str">
        <f>'预评函-2'!B13</f>
        <v>3.房地产抵押价值</v>
      </c>
    </row>
    <row r="30" spans="1:2" s="1592" customFormat="1" ht="16">
      <c r="A30" s="1590" t="s">
        <v>1287</v>
      </c>
      <c r="B30" s="1591">
        <f ca="1">'预评函-2'!D13</f>
        <v>315663</v>
      </c>
    </row>
    <row r="31" spans="1:2" s="1592" customFormat="1" ht="16">
      <c r="A31" s="1590" t="s">
        <v>1269</v>
      </c>
      <c r="B31" s="1591">
        <f ca="1">'预评函-2'!D15</f>
        <v>3176</v>
      </c>
    </row>
    <row r="32" spans="1:2" s="1592" customFormat="1" ht="16">
      <c r="A32" s="1590" t="s">
        <v>1236</v>
      </c>
      <c r="B32" s="1591" t="str">
        <f ca="1">'预评函-2'!D14</f>
        <v>叁拾壹亿伍仟陆佰陆拾叁万元整</v>
      </c>
    </row>
    <row r="33" spans="1:2" s="1592" customFormat="1" ht="16">
      <c r="A33" s="1590" t="s">
        <v>1271</v>
      </c>
      <c r="B33" s="1591" t="str">
        <f>'预评函-2'!B16</f>
        <v>4.抵押担保权已注销时的房地产抵押价值</v>
      </c>
    </row>
    <row r="34" spans="1:2" s="1592" customFormat="1" ht="16">
      <c r="A34" s="1590" t="s">
        <v>1289</v>
      </c>
      <c r="B34" s="1591">
        <f ca="1">'预评函-2'!D16</f>
        <v>315663</v>
      </c>
    </row>
    <row r="35" spans="1:2" s="1592" customFormat="1" ht="16">
      <c r="A35" s="1590" t="s">
        <v>1270</v>
      </c>
      <c r="B35" s="1591">
        <f ca="1">'预评函-2'!D18</f>
        <v>3176</v>
      </c>
    </row>
    <row r="36" spans="1:2" s="1592" customFormat="1" ht="16">
      <c r="A36" s="1590" t="s">
        <v>1237</v>
      </c>
      <c r="B36" s="1591" t="str">
        <f ca="1">'预评函-2'!D17</f>
        <v>叁拾壹亿伍仟陆佰陆拾叁万元整</v>
      </c>
    </row>
    <row r="37" spans="1:2" s="1592" customFormat="1" ht="16">
      <c r="A37" s="1590" t="s">
        <v>1272</v>
      </c>
      <c r="B37" s="1591" t="str">
        <f>'预评函-2'!B19</f>
        <v>——</v>
      </c>
    </row>
    <row r="38" spans="1:2" s="1592" customFormat="1" ht="16">
      <c r="A38" s="1590" t="s">
        <v>1290</v>
      </c>
      <c r="B38" s="1591" t="str">
        <f>'预评函-2'!D19</f>
        <v>——</v>
      </c>
    </row>
    <row r="39" spans="1:2" s="1592" customFormat="1" ht="16">
      <c r="A39" s="1590" t="s">
        <v>1238</v>
      </c>
      <c r="B39" s="1591" t="str">
        <f>'预评函-2'!D21</f>
        <v>——</v>
      </c>
    </row>
    <row r="40" spans="1:2" s="1592" customFormat="1" ht="16">
      <c r="A40" s="1590" t="s">
        <v>1239</v>
      </c>
      <c r="B40" s="1591" t="e">
        <f>'预评函-2'!D20</f>
        <v>#VALUE!</v>
      </c>
    </row>
    <row r="41" spans="1:2" s="1592" customFormat="1" ht="16">
      <c r="A41" s="1590" t="s">
        <v>1285</v>
      </c>
      <c r="B41" s="1591" t="str">
        <f>'预评函-3'!A4</f>
        <v>出让国有建设用地使用权</v>
      </c>
    </row>
    <row r="42" spans="1:2" s="1592" customFormat="1" ht="16">
      <c r="A42" s="1590" t="s">
        <v>1283</v>
      </c>
      <c r="B42" s="1591" t="str">
        <f>'预评函-3'!B2</f>
        <v>建筑面积</v>
      </c>
    </row>
    <row r="43" spans="1:2" s="1592" customFormat="1" ht="16">
      <c r="A43" s="1590" t="s">
        <v>1284</v>
      </c>
      <c r="B43" s="1591">
        <f>'预评函-3'!B4</f>
        <v>993873.23100000003</v>
      </c>
    </row>
    <row r="44" spans="1:2" s="1592" customFormat="1" ht="16">
      <c r="A44" s="1590" t="s">
        <v>1268</v>
      </c>
      <c r="B44" s="1591" t="str">
        <f>'预评函-3'!C2</f>
        <v>(分摊)土地面积</v>
      </c>
    </row>
    <row r="45" spans="1:2" s="1592" customFormat="1" ht="16">
      <c r="A45" s="1590" t="s">
        <v>1240</v>
      </c>
      <c r="B45" s="1591">
        <f>'预评函-3'!C4</f>
        <v>535778.54</v>
      </c>
    </row>
    <row r="46" spans="1:2" s="1592" customFormat="1" ht="16">
      <c r="A46" s="1590" t="s">
        <v>1266</v>
      </c>
      <c r="B46" s="1591" t="str">
        <f>'预评函-3'!D2</f>
        <v>出让国有建设用地使用权价值</v>
      </c>
    </row>
    <row r="47" spans="1:2" s="1592" customFormat="1" ht="16">
      <c r="A47" s="1590" t="s">
        <v>1241</v>
      </c>
      <c r="B47" s="1591">
        <f ca="1">'预评函-3'!D4</f>
        <v>315663</v>
      </c>
    </row>
    <row r="48" spans="1:2" s="1592" customFormat="1" ht="16">
      <c r="A48" s="1590" t="s">
        <v>1242</v>
      </c>
      <c r="B48" s="1591">
        <f ca="1">'预评函-3'!E4</f>
        <v>3176</v>
      </c>
    </row>
    <row r="49" spans="1:2" s="1592" customFormat="1" ht="16">
      <c r="A49" s="1590" t="s">
        <v>1243</v>
      </c>
      <c r="B49" s="1591" t="str">
        <f ca="1">'预评函-3'!D5</f>
        <v>叁拾壹亿伍仟陆佰陆拾叁万元整</v>
      </c>
    </row>
    <row r="50" spans="1:2" s="1592" customFormat="1" ht="16">
      <c r="A50" s="1590" t="s">
        <v>1267</v>
      </c>
      <c r="B50" s="1591" t="str">
        <f>'预评函-3'!F2</f>
        <v>在建建筑物价值</v>
      </c>
    </row>
    <row r="51" spans="1:2" s="1592" customFormat="1" ht="16">
      <c r="A51" s="1590" t="s">
        <v>1244</v>
      </c>
      <c r="B51" s="1591">
        <f ca="1">'预评函-3'!F4</f>
        <v>0</v>
      </c>
    </row>
    <row r="52" spans="1:2" s="1592" customFormat="1" ht="16">
      <c r="A52" s="1590" t="s">
        <v>1245</v>
      </c>
      <c r="B52" s="1591">
        <f ca="1">'预评函-3'!G4</f>
        <v>0</v>
      </c>
    </row>
    <row r="53" spans="1:2" s="1592" customFormat="1" ht="16">
      <c r="A53" s="1590" t="s">
        <v>1273</v>
      </c>
      <c r="B53" s="1591" t="str">
        <f ca="1">'预评函-3'!F5</f>
        <v>零元整</v>
      </c>
    </row>
    <row r="54" spans="1:2" s="1592" customFormat="1" ht="16">
      <c r="A54" s="1590" t="s">
        <v>1291</v>
      </c>
      <c r="B54" s="1591" t="str">
        <f>'预评函-3'!A8</f>
        <v/>
      </c>
    </row>
    <row r="55" spans="1:2" s="1592" customFormat="1" ht="16">
      <c r="A55" s="1590" t="s">
        <v>1274</v>
      </c>
      <c r="B55" s="1591" t="str">
        <f>'预评函-3'!A10</f>
        <v/>
      </c>
    </row>
    <row r="56" spans="1:2" s="1592" customFormat="1" ht="16">
      <c r="A56" s="1590" t="s">
        <v>1275</v>
      </c>
      <c r="B56" s="1591" t="str">
        <f>'预评函-3'!A12</f>
        <v/>
      </c>
    </row>
    <row r="57" spans="1:2" s="1586" customFormat="1" ht="17" thickBot="1">
      <c r="A57" s="1593" t="s">
        <v>1292</v>
      </c>
      <c r="B57" s="1594" t="str">
        <f>'预评函-3'!A6</f>
        <v/>
      </c>
    </row>
    <row r="58" spans="1:2" s="1589" customFormat="1" ht="17" thickTop="1">
      <c r="A58" s="1587" t="s">
        <v>1246</v>
      </c>
      <c r="B58" s="1588" t="str">
        <f>'预评函-4'!A12</f>
        <v>2.本次评估设定估价对象房地产权属无争议，未被查封或者以其他形式限制其房地产权利，未设定抵押权等他项权利，不涉及第三方权利义务。</v>
      </c>
    </row>
    <row r="59" spans="1:2" s="1592" customFormat="1" ht="16">
      <c r="A59" s="1590" t="s">
        <v>1247</v>
      </c>
      <c r="B59" s="1591" t="str">
        <f>'预评函-4'!A13</f>
        <v>——</v>
      </c>
    </row>
    <row r="60" spans="1:2" s="1592" customFormat="1" ht="16">
      <c r="A60" s="1590" t="s">
        <v>1248</v>
      </c>
      <c r="B60" s="1591" t="str">
        <f>'预评函-4'!A14</f>
        <v>——</v>
      </c>
    </row>
    <row r="61" spans="1:2" s="1592" customFormat="1" ht="16">
      <c r="A61" s="1590" t="s">
        <v>1249</v>
      </c>
      <c r="B61" s="1591" t="str">
        <f>'预评函-4'!A15</f>
        <v>——</v>
      </c>
    </row>
    <row r="62" spans="1:2" s="1592" customFormat="1" ht="16">
      <c r="A62" s="1590" t="s">
        <v>1250</v>
      </c>
      <c r="B62" s="1591" t="str">
        <f>'预评函-4'!A16</f>
        <v>（2）根据《工程款支付情况说明》，截至价值时点，估价对象不存在应付未付工程款项。（只要没有施工方盖章的，均“设定”进行表述）</v>
      </c>
    </row>
    <row r="63" spans="1:2" s="1592" customFormat="1" ht="16">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ht="16">
      <c r="A64" s="1590" t="s">
        <v>1263</v>
      </c>
      <c r="B64" s="1591" t="str">
        <f>'预评函-4'!A18</f>
        <v>——</v>
      </c>
    </row>
    <row r="65" spans="1:2" s="1592" customFormat="1" ht="16">
      <c r="A65" s="1590" t="s">
        <v>1252</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ht="16">
      <c r="A66" s="1590" t="s">
        <v>1253</v>
      </c>
      <c r="B66" s="15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ht="16">
      <c r="A67" s="1590" t="s">
        <v>1264</v>
      </c>
      <c r="B67" s="15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ht="16">
      <c r="A68" s="1590" t="s">
        <v>1265</v>
      </c>
      <c r="B68" s="1591" t="str">
        <f>'预评函-4'!A22</f>
        <v>8.其他需特殊说明事项：无（注意调整序号）</v>
      </c>
    </row>
    <row r="69" spans="1:2" s="1586" customFormat="1" ht="17" thickBot="1">
      <c r="A69" s="1593" t="s">
        <v>1254</v>
      </c>
      <c r="B69" s="1595">
        <f>'预评函-4'!C31</f>
        <v>42551</v>
      </c>
    </row>
    <row r="70" spans="1:2" ht="17" thickTop="1">
      <c r="A70" s="1596" t="s">
        <v>1255</v>
      </c>
      <c r="B70" s="1597">
        <f>'预评函-4'!A4</f>
        <v>0</v>
      </c>
    </row>
    <row r="71" spans="1:2" ht="16">
      <c r="A71" s="1590" t="s">
        <v>1256</v>
      </c>
      <c r="B71" s="1591">
        <f>'预评函-4'!B4</f>
        <v>0</v>
      </c>
    </row>
    <row r="72" spans="1:2" ht="16">
      <c r="A72" s="1590" t="s">
        <v>1257</v>
      </c>
      <c r="B72" s="1599">
        <f>'预评函-4'!A5</f>
        <v>0</v>
      </c>
    </row>
    <row r="73" spans="1:2" s="1586" customFormat="1" ht="17" thickBot="1">
      <c r="A73" s="1593" t="s">
        <v>1258</v>
      </c>
      <c r="B73" s="1594">
        <f>'预评函-4'!B5</f>
        <v>0</v>
      </c>
    </row>
    <row r="74" spans="1:2" ht="17" thickTop="1">
      <c r="A74" s="1583" t="s">
        <v>1294</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baseColWidth="10" defaultColWidth="9" defaultRowHeight="14"/>
  <cols>
    <col min="1" max="1" width="13.5" style="2022" customWidth="1"/>
    <col min="2" max="2" width="23.1640625" style="1973" customWidth="1"/>
    <col min="3" max="3" width="13" style="2017" customWidth="1"/>
    <col min="4" max="4" width="5.83203125" style="2014" customWidth="1"/>
    <col min="5" max="5" width="7.1640625" style="2014" customWidth="1"/>
    <col min="6" max="6" width="10.6640625" style="2014" customWidth="1"/>
    <col min="7" max="7" width="7.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640625" style="1973" customWidth="1"/>
    <col min="25" max="16384" width="9" style="1973"/>
  </cols>
  <sheetData>
    <row r="1" spans="1:23" s="2011" customFormat="1" ht="30">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4160</v>
      </c>
      <c r="C18" s="2013"/>
    </row>
    <row r="19" spans="1:3">
      <c r="A19" s="2012" t="s">
        <v>1762</v>
      </c>
      <c r="B19" s="2012" t="s">
        <v>4179</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19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2020" t="s">
        <v>860</v>
      </c>
      <c r="C54" s="2017" t="s">
        <v>1276</v>
      </c>
    </row>
    <row r="55" spans="1:4">
      <c r="A55" s="3196"/>
      <c r="B55" s="2020" t="s">
        <v>861</v>
      </c>
      <c r="C55" s="2017" t="s">
        <v>1277</v>
      </c>
    </row>
    <row r="56" spans="1:4">
      <c r="A56" s="3196"/>
      <c r="B56" s="2020" t="s">
        <v>862</v>
      </c>
      <c r="C56" s="2017" t="s">
        <v>1281</v>
      </c>
    </row>
    <row r="57" spans="1:4">
      <c r="A57" s="319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110" zoomScaleNormal="100" zoomScaleSheetLayoutView="110" workbookViewId="0">
      <selection activeCell="E8" sqref="E8"/>
    </sheetView>
  </sheetViews>
  <sheetFormatPr baseColWidth="10" defaultColWidth="10" defaultRowHeight="18" customHeight="1"/>
  <cols>
    <col min="1" max="1" width="14.83203125" style="2030" customWidth="1"/>
    <col min="2" max="2" width="10" style="2030" customWidth="1"/>
    <col min="3" max="3" width="11.5" style="2030" customWidth="1"/>
    <col min="4" max="6" width="10" style="2030" customWidth="1"/>
    <col min="7" max="7" width="10.83203125" style="2030" customWidth="1"/>
    <col min="8" max="8" width="10" style="2030" customWidth="1"/>
    <col min="9" max="9" width="11.16406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1770</v>
      </c>
      <c r="B1" s="3197" t="str">
        <f>IF(B10="北京市","北京市",C10)&amp;F10&amp;IF(结果表!G1="在建","出让国有建设用地使用权及在建建筑物",IF(结果表!G1="土地","出让国有建设用地使用权",))&amp;B9&amp;"预评估"</f>
        <v>出让国有建设用地使用权房地产市场价值预评估</v>
      </c>
      <c r="C1" s="3198"/>
      <c r="D1" s="3198"/>
      <c r="E1" s="3198"/>
      <c r="F1" s="3198"/>
      <c r="G1" s="3198"/>
      <c r="H1" s="3198"/>
      <c r="I1" s="319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v>
      </c>
    </row>
    <row r="3" spans="1:19" ht="18" customHeight="1">
      <c r="A3" s="2033" t="s">
        <v>1772</v>
      </c>
      <c r="B3" s="2034"/>
      <c r="C3" s="2035" t="s">
        <v>1773</v>
      </c>
      <c r="D3" s="2034">
        <v>43905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4319</v>
      </c>
      <c r="C8" s="2054"/>
      <c r="D8" s="3200" t="s">
        <v>1779</v>
      </c>
      <c r="E8" s="3613" t="s">
        <v>4321</v>
      </c>
      <c r="F8" s="2055"/>
      <c r="G8" s="2024"/>
      <c r="H8" s="2024"/>
      <c r="I8" s="2024"/>
      <c r="J8" s="2040"/>
      <c r="K8" s="2041"/>
      <c r="L8" s="2026"/>
      <c r="M8" s="2026"/>
      <c r="N8" s="2027"/>
      <c r="O8" s="2028"/>
      <c r="P8" s="2027"/>
      <c r="Q8" s="2027"/>
      <c r="R8" s="2027"/>
    </row>
    <row r="9" spans="1:19" ht="18" customHeight="1" thickBot="1">
      <c r="A9" s="2038" t="s">
        <v>1780</v>
      </c>
      <c r="B9" s="3612" t="s">
        <v>4320</v>
      </c>
      <c r="C9" s="2057"/>
      <c r="D9" s="3201"/>
      <c r="E9" s="2056" t="s">
        <v>70</v>
      </c>
      <c r="F9" s="2058"/>
      <c r="G9" s="2059"/>
      <c r="H9" s="2059"/>
      <c r="I9" s="2059"/>
      <c r="J9" s="2040"/>
      <c r="K9" s="2052"/>
      <c r="L9" s="2026"/>
      <c r="M9" s="2026"/>
      <c r="N9" s="2027"/>
      <c r="O9" s="2028"/>
      <c r="P9" s="2027"/>
      <c r="Q9" s="2027"/>
      <c r="R9" s="2027"/>
    </row>
    <row r="10" spans="1:19" ht="18" customHeight="1" thickTop="1">
      <c r="A10" s="2060" t="s">
        <v>1781</v>
      </c>
      <c r="B10" s="2061"/>
      <c r="C10" s="2062"/>
      <c r="D10" s="2045"/>
      <c r="E10" s="2063" t="s">
        <v>1782</v>
      </c>
      <c r="F10" s="2064"/>
      <c r="G10" s="2065"/>
      <c r="H10" s="2066"/>
      <c r="I10" s="2045"/>
      <c r="J10" s="2040"/>
      <c r="K10" s="2052"/>
      <c r="L10" s="2026"/>
      <c r="M10" s="2026"/>
      <c r="N10" s="2027"/>
      <c r="O10" s="2028"/>
      <c r="P10" s="2027"/>
      <c r="Q10" s="2027"/>
      <c r="R10" s="2027"/>
    </row>
    <row r="11" spans="1:19" ht="18" customHeight="1">
      <c r="A11" s="2067" t="s">
        <v>1783</v>
      </c>
      <c r="B11" s="2068"/>
      <c r="C11" s="2069"/>
      <c r="D11" s="2070"/>
      <c r="E11" s="2040"/>
      <c r="F11" s="2040"/>
      <c r="G11" s="2040"/>
      <c r="H11" s="2040"/>
      <c r="I11" s="2040"/>
      <c r="J11" s="2040"/>
      <c r="K11" s="2052"/>
      <c r="L11" s="2026"/>
      <c r="M11" s="2026"/>
      <c r="N11" s="2027"/>
      <c r="O11" s="2028"/>
      <c r="P11" s="2027"/>
      <c r="Q11" s="2027"/>
      <c r="R11" s="2027"/>
    </row>
    <row r="12" spans="1:19" ht="18" customHeight="1">
      <c r="A12" s="2071" t="s">
        <v>1784</v>
      </c>
      <c r="B12" s="2068" t="s">
        <v>3436</v>
      </c>
      <c r="C12" s="2072" t="s">
        <v>1785</v>
      </c>
      <c r="D12" s="2073" t="s">
        <v>1786</v>
      </c>
      <c r="E12" s="2073" t="s">
        <v>1787</v>
      </c>
      <c r="F12" s="2073" t="s">
        <v>1788</v>
      </c>
      <c r="G12" s="2073" t="s">
        <v>1789</v>
      </c>
      <c r="H12" s="2073" t="s">
        <v>1790</v>
      </c>
      <c r="I12" s="2073" t="s">
        <v>1791</v>
      </c>
      <c r="J12" s="2040"/>
      <c r="K12" s="2052"/>
      <c r="L12" s="2026"/>
      <c r="M12" s="2026"/>
      <c r="N12" s="2027"/>
      <c r="O12" s="2028"/>
      <c r="P12" s="2027"/>
      <c r="Q12" s="2027"/>
      <c r="R12" s="2027"/>
    </row>
    <row r="13" spans="1:19" ht="18" customHeight="1">
      <c r="A13" s="2074"/>
      <c r="B13" s="2075"/>
      <c r="C13" s="2076" t="s">
        <v>1792</v>
      </c>
      <c r="D13" s="2077">
        <f>抵押物汇总!K17</f>
        <v>66592</v>
      </c>
      <c r="E13" s="2077">
        <v>55635</v>
      </c>
      <c r="F13" s="2077"/>
      <c r="G13" s="2077"/>
      <c r="H13" s="2077">
        <v>59287</v>
      </c>
      <c r="I13" s="1047"/>
      <c r="J13" s="2040"/>
      <c r="K13" s="2052"/>
      <c r="L13" s="2026"/>
      <c r="M13" s="2026"/>
      <c r="N13" s="2027"/>
      <c r="O13" s="2028"/>
      <c r="P13" s="2027"/>
      <c r="Q13" s="2027"/>
      <c r="R13" s="2027"/>
    </row>
    <row r="14" spans="1:19" ht="18" customHeight="1">
      <c r="A14" s="2074"/>
      <c r="B14" s="2075"/>
      <c r="C14" s="2076" t="s">
        <v>1793</v>
      </c>
      <c r="D14" s="1050">
        <v>70</v>
      </c>
      <c r="E14" s="1050">
        <v>40</v>
      </c>
      <c r="F14" s="1050"/>
      <c r="G14" s="1050"/>
      <c r="H14" s="1050">
        <v>50</v>
      </c>
      <c r="I14" s="1050"/>
      <c r="J14" s="2040"/>
      <c r="K14" s="2078"/>
      <c r="L14" s="2026"/>
      <c r="M14" s="2026"/>
      <c r="N14" s="2027"/>
      <c r="O14" s="2028"/>
      <c r="P14" s="2027"/>
      <c r="Q14" s="2027"/>
      <c r="R14" s="2027"/>
    </row>
    <row r="15" spans="1:19" ht="18" customHeight="1">
      <c r="A15" s="2060"/>
      <c r="B15" s="2079"/>
      <c r="C15" s="2076" t="s">
        <v>1794</v>
      </c>
      <c r="D15" s="1049">
        <f>IF(B12="出让",IF(D13="","",ROUNDDOWN(MIN((D13-$D$3)/365,D14),2)),D14)</f>
        <v>62.15</v>
      </c>
      <c r="E15" s="1049">
        <f>IF(B12="出让",IF(E13="","",ROUNDDOWN(MIN((E13-$D$3)/365,E14),2)),E14)</f>
        <v>32.130000000000003</v>
      </c>
      <c r="F15" s="1049" t="str">
        <f>IF(B12="出让",IF(F13="","",ROUNDDOWN(MIN((F13-$D$3)/365,F14),2)),F14)</f>
        <v/>
      </c>
      <c r="G15" s="1049" t="str">
        <f>IF(B12="出让",IF(G13="","",ROUNDDOWN(MIN((G13-$D$3)/365,G14),2)),G14)</f>
        <v/>
      </c>
      <c r="H15" s="1049">
        <f>IF(B12="出让",IF(H13="","",ROUNDDOWN(MIN((H13-$D$3)/365,H14),2)),H14)</f>
        <v>42.14</v>
      </c>
      <c r="I15" s="1049" t="str">
        <f>IF(B12="出让",IF(I13="","",ROUNDDOWN(MIN((I13-$D$3)/365,I14),2)),I14)</f>
        <v/>
      </c>
      <c r="J15" s="2040"/>
      <c r="K15" s="2080"/>
      <c r="L15" s="2081"/>
      <c r="M15" s="2081"/>
      <c r="N15" s="2082"/>
      <c r="O15" s="2081"/>
      <c r="P15" s="2082"/>
      <c r="Q15" s="2027"/>
      <c r="R15" s="2027"/>
    </row>
    <row r="16" spans="1:19" ht="30.75" customHeight="1">
      <c r="A16" s="2063" t="s">
        <v>1795</v>
      </c>
      <c r="B16" s="3207"/>
      <c r="C16" s="3208"/>
      <c r="D16" s="3209"/>
      <c r="E16" s="2083" t="s">
        <v>1796</v>
      </c>
      <c r="F16" s="3210"/>
      <c r="G16" s="3211"/>
      <c r="H16" s="3211"/>
      <c r="I16" s="3212"/>
      <c r="J16" s="2027"/>
      <c r="K16" s="2080"/>
      <c r="L16" s="2081"/>
      <c r="M16" s="2081"/>
      <c r="N16" s="2082"/>
      <c r="O16" s="2081"/>
      <c r="P16" s="2082"/>
      <c r="Q16" s="2027"/>
      <c r="R16" s="2027"/>
    </row>
    <row r="17" spans="1:22" ht="18" customHeight="1">
      <c r="A17" s="2084" t="s">
        <v>1797</v>
      </c>
      <c r="B17" s="2033" t="s">
        <v>1798</v>
      </c>
      <c r="C17" s="1054">
        <f>'数据-汇总表'!E3</f>
        <v>993873.23100000003</v>
      </c>
      <c r="D17" s="2085" t="s">
        <v>1799</v>
      </c>
      <c r="E17" s="3213" t="s">
        <v>1800</v>
      </c>
      <c r="F17" s="3214"/>
      <c r="G17" s="3214"/>
      <c r="H17" s="3214"/>
      <c r="I17" s="3215"/>
      <c r="J17" s="2027"/>
      <c r="K17" s="2086"/>
      <c r="L17" s="2081"/>
      <c r="M17" s="2081"/>
      <c r="N17" s="2082"/>
      <c r="O17" s="2081"/>
      <c r="P17" s="2082"/>
      <c r="Q17" s="2027"/>
      <c r="R17" s="2027"/>
      <c r="S17" s="2027"/>
      <c r="T17" s="2027"/>
      <c r="U17" s="2027"/>
      <c r="V17" s="2027"/>
    </row>
    <row r="18" spans="1:22" ht="36" customHeight="1" thickBot="1">
      <c r="A18" s="2087" t="s">
        <v>1801</v>
      </c>
      <c r="B18" s="2036" t="s">
        <v>1802</v>
      </c>
      <c r="C18" s="1444">
        <f>'数据-汇总表'!D3</f>
        <v>535778.54</v>
      </c>
      <c r="D18" s="2088" t="s">
        <v>1799</v>
      </c>
      <c r="E18" s="3216" t="s">
        <v>1803</v>
      </c>
      <c r="F18" s="3217"/>
      <c r="G18" s="3217"/>
      <c r="H18" s="3217"/>
      <c r="I18" s="3218"/>
      <c r="J18" s="2027"/>
      <c r="K18" s="2086"/>
      <c r="L18" s="2081"/>
      <c r="M18" s="2081"/>
      <c r="N18" s="2082"/>
      <c r="O18" s="2081"/>
      <c r="P18" s="2082"/>
      <c r="Q18" s="2027"/>
      <c r="R18" s="2027"/>
      <c r="S18" s="2027"/>
      <c r="T18" s="2027"/>
      <c r="U18" s="2027"/>
      <c r="V18" s="2027"/>
    </row>
    <row r="19" spans="1:22" ht="37.5" customHeight="1" thickTop="1" thickBot="1">
      <c r="A19" s="373" t="s">
        <v>1804</v>
      </c>
      <c r="B19" s="352" t="s">
        <v>1805</v>
      </c>
      <c r="C19" s="2089"/>
      <c r="D19" s="2090" t="s">
        <v>1806</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1807</v>
      </c>
      <c r="B20" s="3203" t="s">
        <v>1808</v>
      </c>
      <c r="C20" s="3204"/>
      <c r="D20" s="3205" t="s">
        <v>1809</v>
      </c>
      <c r="E20" s="3206"/>
      <c r="F20" s="2095" t="s">
        <v>1810</v>
      </c>
      <c r="G20" s="2040"/>
      <c r="H20" s="2040"/>
      <c r="I20" s="2040"/>
      <c r="J20" s="2040"/>
      <c r="K20" s="320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1812</v>
      </c>
      <c r="C21" s="2097" t="s">
        <v>1813</v>
      </c>
      <c r="D21" s="2098" t="s">
        <v>1814</v>
      </c>
      <c r="E21" s="2099" t="s">
        <v>1813</v>
      </c>
      <c r="F21" s="2100"/>
      <c r="G21" s="2040"/>
      <c r="H21" s="2040"/>
      <c r="I21" s="2040"/>
      <c r="J21" s="2040"/>
      <c r="K21" s="32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1815</v>
      </c>
      <c r="C22" s="2097" t="s">
        <v>1816</v>
      </c>
      <c r="D22" s="2024"/>
      <c r="E22" s="2024"/>
      <c r="F22" s="2102"/>
      <c r="G22" s="2040"/>
      <c r="H22" s="2040"/>
      <c r="I22" s="2040"/>
      <c r="J22" s="2040"/>
      <c r="K22" s="32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1817</v>
      </c>
      <c r="B23" s="183" t="s">
        <v>1818</v>
      </c>
      <c r="C23" s="2104"/>
      <c r="D23" s="2105" t="s">
        <v>1818</v>
      </c>
      <c r="E23" s="2106"/>
      <c r="F23" s="2102"/>
      <c r="G23" s="2040"/>
      <c r="H23" s="2040"/>
      <c r="I23" s="2040"/>
      <c r="J23" s="2040"/>
      <c r="K23" s="2107"/>
      <c r="L23" s="748"/>
      <c r="M23" s="2026"/>
      <c r="N23" s="2082"/>
      <c r="O23" s="2081"/>
      <c r="P23" s="2082"/>
      <c r="Q23" s="2027"/>
      <c r="R23" s="2027"/>
      <c r="S23" s="2027"/>
      <c r="T23" s="2027"/>
      <c r="U23" s="2027"/>
      <c r="V23" s="2027"/>
    </row>
    <row r="24" spans="1:22" ht="18" customHeight="1">
      <c r="A24" s="2108"/>
      <c r="B24" s="183" t="s">
        <v>1819</v>
      </c>
      <c r="C24" s="2109"/>
      <c r="D24" s="2103" t="s">
        <v>1819</v>
      </c>
      <c r="E24" s="2110"/>
      <c r="F24" s="2102"/>
      <c r="G24" s="2040"/>
      <c r="H24" s="2040"/>
      <c r="I24" s="2040"/>
      <c r="J24" s="2040"/>
      <c r="K24" s="2107"/>
      <c r="L24" s="748"/>
      <c r="M24" s="2026"/>
      <c r="N24" s="2082"/>
      <c r="O24" s="2081"/>
      <c r="P24" s="2082"/>
      <c r="Q24" s="2027"/>
      <c r="R24" s="2027"/>
      <c r="S24" s="2027"/>
      <c r="T24" s="2027"/>
      <c r="U24" s="2027"/>
      <c r="V24" s="2027"/>
    </row>
    <row r="25" spans="1:22" ht="18" customHeight="1">
      <c r="A25" s="2108"/>
      <c r="B25" s="183" t="s">
        <v>1820</v>
      </c>
      <c r="C25" s="2109"/>
      <c r="D25" s="2103" t="s">
        <v>1820</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1821</v>
      </c>
      <c r="C26" s="2113"/>
      <c r="D26" s="2114" t="s">
        <v>1822</v>
      </c>
      <c r="E26" s="2115"/>
      <c r="F26" s="2116"/>
      <c r="G26" s="2059"/>
      <c r="H26" s="2059"/>
      <c r="I26" s="2059"/>
      <c r="J26" s="2040"/>
      <c r="K26" s="2052"/>
      <c r="L26" s="2026"/>
      <c r="M26" s="2026"/>
      <c r="N26" s="2082"/>
      <c r="O26" s="2081"/>
      <c r="P26" s="2082"/>
      <c r="Q26" s="2027"/>
      <c r="R26" s="2027"/>
      <c r="S26" s="2027"/>
      <c r="T26" s="2027"/>
      <c r="U26" s="2027"/>
      <c r="V26" s="2027"/>
    </row>
    <row r="27" spans="1:22" ht="18" customHeight="1" thickTop="1">
      <c r="A27" s="3220" t="s">
        <v>1823</v>
      </c>
      <c r="B27" s="2060" t="s">
        <v>1824</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220"/>
      <c r="B28" s="2033" t="s">
        <v>1825</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220"/>
      <c r="B29" s="2033" t="s">
        <v>1826</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221"/>
      <c r="B30" s="2033" t="s">
        <v>1827</v>
      </c>
      <c r="C30" s="3222"/>
      <c r="D30" s="3223"/>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224" t="s">
        <v>1828</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225"/>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225"/>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1"/>
      <c r="C34" s="2131"/>
      <c r="D34" s="2131"/>
      <c r="E34" s="2131"/>
      <c r="F34" s="2131"/>
      <c r="G34" s="2131"/>
      <c r="H34" s="2131"/>
      <c r="I34" s="2040"/>
      <c r="J34" s="2040"/>
      <c r="K34" s="1794">
        <f>COUNTIF(B34:H34,"——")</f>
        <v>0</v>
      </c>
      <c r="L34" s="2072" t="s">
        <v>1830</v>
      </c>
      <c r="M34" s="2072" t="s">
        <v>1831</v>
      </c>
      <c r="N34" s="2072" t="s">
        <v>1832</v>
      </c>
      <c r="O34" s="2072" t="s">
        <v>1833</v>
      </c>
      <c r="P34" s="2072" t="s">
        <v>1834</v>
      </c>
      <c r="Q34" s="2072" t="s">
        <v>1835</v>
      </c>
      <c r="R34" s="2072" t="s">
        <v>1836</v>
      </c>
      <c r="S34" s="3219" t="s">
        <v>1837</v>
      </c>
      <c r="T34" s="2132" t="str">
        <f>NUMBERSTRING(7-K34,1)&amp;"通"</f>
        <v>七通</v>
      </c>
      <c r="U34" s="2027"/>
      <c r="V34" s="2027"/>
    </row>
    <row r="35" spans="1:22" ht="18" customHeight="1">
      <c r="A35" s="2133"/>
      <c r="B35" s="3226" t="s">
        <v>1838</v>
      </c>
      <c r="C35" s="3226"/>
      <c r="D35" s="3226"/>
      <c r="E35" s="3226"/>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19"/>
      <c r="T35" s="48" t="str">
        <f>IF(T34="一通",L35,IF(T34="二通",M35,IF(T34="三通",N35,IF(T34="四通",O35,IF(T34="五通",P35,IF(T34="六通",Q35,R35))))))</f>
        <v>、、、、、、</v>
      </c>
      <c r="U35" s="2027"/>
      <c r="V35" s="2027"/>
    </row>
    <row r="36" spans="1:22" ht="18" customHeight="1">
      <c r="A36" s="2135"/>
      <c r="B36" s="2134" t="s">
        <v>1839</v>
      </c>
      <c r="C36" s="2134" t="s">
        <v>1840</v>
      </c>
      <c r="D36" s="2134" t="s">
        <v>1841</v>
      </c>
      <c r="E36" s="2134" t="s">
        <v>1842</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1843</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1844</v>
      </c>
      <c r="B38" s="2140"/>
      <c r="C38" s="2140"/>
      <c r="D38" s="2140"/>
      <c r="E38" s="2140"/>
      <c r="F38" s="2141"/>
      <c r="G38" s="2059"/>
      <c r="H38" s="2059"/>
      <c r="I38" s="2059"/>
      <c r="J38" s="2040"/>
      <c r="K38" s="2052"/>
      <c r="L38" s="2026"/>
      <c r="M38" s="2026"/>
      <c r="N38" s="2027"/>
      <c r="O38" s="2028"/>
      <c r="P38" s="2027"/>
      <c r="Q38" s="2027"/>
      <c r="R38" s="2027"/>
      <c r="S38" s="2027"/>
      <c r="T38" s="2027"/>
      <c r="U38" s="2027"/>
      <c r="V38" s="2027"/>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6"/>
      <c r="L40" s="2081"/>
      <c r="M40" s="2081"/>
      <c r="N40" s="2082"/>
      <c r="O40" s="2081"/>
      <c r="P40" s="2027"/>
      <c r="Q40" s="2027"/>
      <c r="R40" s="2027"/>
      <c r="S40" s="2027"/>
      <c r="T40" s="2027"/>
      <c r="U40" s="2027"/>
      <c r="V40" s="2027"/>
    </row>
    <row r="41" spans="1:22" ht="18" customHeight="1">
      <c r="A41" s="8" t="s">
        <v>1846</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1847</v>
      </c>
      <c r="B42" s="1794" t="s">
        <v>1848</v>
      </c>
      <c r="C42" s="1794" t="s">
        <v>1849</v>
      </c>
      <c r="D42" s="1794" t="s">
        <v>1850</v>
      </c>
      <c r="E42" s="1794" t="s">
        <v>1851</v>
      </c>
      <c r="F42" s="1794" t="s">
        <v>1852</v>
      </c>
      <c r="G42" s="1794" t="s">
        <v>1853</v>
      </c>
      <c r="H42" s="1794" t="s">
        <v>1854</v>
      </c>
      <c r="I42" s="1794" t="s">
        <v>1855</v>
      </c>
      <c r="J42" s="2150" t="s">
        <v>1856</v>
      </c>
      <c r="K42" s="2073" t="s">
        <v>1857</v>
      </c>
      <c r="L42" s="2073" t="s">
        <v>1858</v>
      </c>
      <c r="M42" s="2073" t="s">
        <v>1859</v>
      </c>
      <c r="N42" s="1794" t="s">
        <v>1860</v>
      </c>
      <c r="O42" s="1794" t="s">
        <v>1861</v>
      </c>
      <c r="P42" s="1794" t="s">
        <v>1862</v>
      </c>
      <c r="Q42" s="2072" t="s">
        <v>1863</v>
      </c>
      <c r="R42" s="2072" t="s">
        <v>1864</v>
      </c>
      <c r="S42" s="2027"/>
      <c r="T42" s="2027"/>
      <c r="U42" s="2027"/>
      <c r="V42" s="2027"/>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O13" sqref="O13"/>
    </sheetView>
  </sheetViews>
  <sheetFormatPr baseColWidth="10" defaultColWidth="8.83203125" defaultRowHeight="14"/>
  <cols>
    <col min="1" max="1" width="10.6640625" style="2157" customWidth="1"/>
    <col min="2" max="2" width="11" style="2157" customWidth="1"/>
    <col min="3" max="3" width="10.33203125" style="2157" customWidth="1"/>
    <col min="4" max="4" width="9.1640625" style="2157" customWidth="1"/>
    <col min="5" max="6" width="10" style="2220" customWidth="1"/>
    <col min="7" max="8" width="10" style="2157" customWidth="1"/>
    <col min="9" max="9" width="10.6640625" style="2157" customWidth="1"/>
    <col min="10" max="10" width="9.5" style="2157" customWidth="1"/>
    <col min="11" max="11" width="11" style="2157" customWidth="1"/>
    <col min="12" max="14" width="9.5" style="2157" customWidth="1"/>
    <col min="15" max="16" width="9.83203125" style="2157" customWidth="1"/>
    <col min="17" max="17" width="9.33203125" style="2157" customWidth="1"/>
    <col min="18" max="18" width="9.1640625" style="2157" customWidth="1"/>
    <col min="19" max="28" width="10.83203125" style="2157" customWidth="1"/>
    <col min="29" max="29" width="11" style="2157" bestFit="1" customWidth="1"/>
    <col min="30" max="30" width="10" style="2157" bestFit="1" customWidth="1"/>
    <col min="31" max="31" width="9.83203125" style="2157" customWidth="1"/>
    <col min="32" max="46" width="9.5" style="2157" customWidth="1"/>
    <col min="47" max="47" width="18.1640625" style="2157" customWidth="1"/>
    <col min="48" max="50" width="9.83203125" style="2157" customWidth="1"/>
    <col min="51" max="55" width="10.5" style="2157" bestFit="1" customWidth="1"/>
    <col min="56" max="56" width="9.5" style="2157" bestFit="1" customWidth="1"/>
    <col min="57" max="57" width="12.6640625" style="2157" customWidth="1"/>
    <col min="58" max="63" width="9.1640625" style="2157" bestFit="1" customWidth="1"/>
    <col min="64" max="64" width="9.5" style="2157" bestFit="1" customWidth="1"/>
    <col min="65" max="65" width="9.1640625" style="2157" bestFit="1" customWidth="1"/>
    <col min="66" max="66" width="9.5" style="2157" bestFit="1" customWidth="1"/>
    <col min="67" max="69" width="9.1640625" style="2157" bestFit="1" customWidth="1"/>
    <col min="70" max="70" width="9.5" style="2157" bestFit="1" customWidth="1"/>
    <col min="71" max="71" width="9" style="2157" customWidth="1"/>
    <col min="72" max="72" width="9.1640625" style="2157" bestFit="1" customWidth="1"/>
    <col min="73" max="16384" width="8.83203125" style="2157"/>
  </cols>
  <sheetData>
    <row r="1" spans="1:72" ht="20">
      <c r="A1" s="2160"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30">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5">
      <c r="A3" s="13">
        <f>抵押物汇总!J20</f>
        <v>684893.01</v>
      </c>
      <c r="B3" s="14">
        <f>IF(C3="否",G5-AT5,G5)</f>
        <v>1270481.6910000001</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c r="A5" s="15" t="s">
        <v>1874</v>
      </c>
      <c r="B5" s="1802"/>
      <c r="C5" s="1802"/>
      <c r="D5" s="1805"/>
      <c r="E5" s="16" t="s">
        <v>1</v>
      </c>
      <c r="F5" s="16">
        <f>SUM(F13:F587)</f>
        <v>0</v>
      </c>
      <c r="G5" s="16">
        <f>SUM(G13:G587)</f>
        <v>1270481.6910000001</v>
      </c>
      <c r="H5" s="16">
        <f t="shared" ref="H5:AT5" si="0">SUM(H13:H656)</f>
        <v>1252740.6310000001</v>
      </c>
      <c r="I5" s="16">
        <f t="shared" si="0"/>
        <v>191863.10499999998</v>
      </c>
      <c r="J5" s="16">
        <f t="shared" si="0"/>
        <v>0</v>
      </c>
      <c r="K5" s="16">
        <f t="shared" si="0"/>
        <v>471674.93599999993</v>
      </c>
      <c r="L5" s="16">
        <f t="shared" si="0"/>
        <v>0</v>
      </c>
      <c r="M5" s="16">
        <f t="shared" si="0"/>
        <v>15657.74</v>
      </c>
      <c r="N5" s="16">
        <f t="shared" si="0"/>
        <v>0</v>
      </c>
      <c r="O5" s="16">
        <f t="shared" si="0"/>
        <v>573544.85000000009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17741.059999999998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17741.059999999998</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993873.23100000003</v>
      </c>
      <c r="BA5" s="18">
        <f t="shared" si="1"/>
        <v>984337.321</v>
      </c>
      <c r="BB5" s="18">
        <f t="shared" si="1"/>
        <v>118403.795</v>
      </c>
      <c r="BC5" s="18">
        <f t="shared" si="1"/>
        <v>392359.87599999993</v>
      </c>
      <c r="BD5" s="18">
        <f t="shared" si="1"/>
        <v>7831.23</v>
      </c>
      <c r="BE5" s="18">
        <f t="shared" si="1"/>
        <v>465742.42000000004</v>
      </c>
      <c r="BF5" s="18">
        <f t="shared" si="1"/>
        <v>0</v>
      </c>
      <c r="BG5" s="18">
        <f t="shared" si="1"/>
        <v>0</v>
      </c>
      <c r="BH5" s="18">
        <f t="shared" si="1"/>
        <v>0</v>
      </c>
      <c r="BI5" s="18">
        <f t="shared" si="1"/>
        <v>0</v>
      </c>
      <c r="BJ5" s="18">
        <f t="shared" si="1"/>
        <v>0</v>
      </c>
      <c r="BK5" s="18">
        <f t="shared" si="1"/>
        <v>0</v>
      </c>
      <c r="BL5" s="18">
        <f t="shared" si="1"/>
        <v>9535.91</v>
      </c>
      <c r="BM5" s="18">
        <f t="shared" si="1"/>
        <v>0</v>
      </c>
      <c r="BN5" s="18">
        <f t="shared" si="1"/>
        <v>0</v>
      </c>
      <c r="BO5" s="18">
        <f t="shared" si="1"/>
        <v>0</v>
      </c>
      <c r="BP5" s="18">
        <f t="shared" si="1"/>
        <v>0</v>
      </c>
      <c r="BQ5" s="18">
        <f t="shared" si="1"/>
        <v>9535.91</v>
      </c>
      <c r="BR5" s="18">
        <f t="shared" si="1"/>
        <v>0</v>
      </c>
      <c r="BS5" s="18">
        <f t="shared" si="1"/>
        <v>0</v>
      </c>
      <c r="BT5" s="19">
        <f t="shared" si="1"/>
        <v>0</v>
      </c>
    </row>
    <row r="6" spans="1:72" s="2175" customFormat="1">
      <c r="A6" s="15" t="s">
        <v>1875</v>
      </c>
      <c r="B6" s="2172"/>
      <c r="C6" s="2172"/>
      <c r="D6" s="2173"/>
      <c r="E6" s="16">
        <f>H6+AC6+AT6</f>
        <v>684893.01</v>
      </c>
      <c r="F6" s="16" t="s">
        <v>1</v>
      </c>
      <c r="G6" s="16" t="s">
        <v>2</v>
      </c>
      <c r="H6" s="20">
        <f>SUMIF(I$12:AB$12,"总值",I6:AB6)</f>
        <v>675329.14</v>
      </c>
      <c r="I6" s="16">
        <f t="shared" ref="I6:AB6" si="2">ROUND($A$3*I5/$B$3,2)</f>
        <v>103429.83</v>
      </c>
      <c r="J6" s="16">
        <f t="shared" si="2"/>
        <v>0</v>
      </c>
      <c r="K6" s="16">
        <f t="shared" si="2"/>
        <v>254271.17</v>
      </c>
      <c r="L6" s="16">
        <f t="shared" si="2"/>
        <v>0</v>
      </c>
      <c r="M6" s="16">
        <f t="shared" si="2"/>
        <v>8440.7999999999993</v>
      </c>
      <c r="N6" s="16">
        <f t="shared" si="2"/>
        <v>0</v>
      </c>
      <c r="O6" s="16">
        <f t="shared" si="2"/>
        <v>309187.34000000003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9563.8700000000008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9563.8700000000008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535778.54</v>
      </c>
      <c r="AZ6" s="16" t="s">
        <v>3</v>
      </c>
      <c r="BA6" s="16">
        <f>ROUND($AY$6*BA5/$AZ$5,2)</f>
        <v>530637.91</v>
      </c>
      <c r="BB6" s="16">
        <f>ROUND($AY$6*BB5/$AZ$5,2)</f>
        <v>63829.279999999999</v>
      </c>
      <c r="BC6" s="16">
        <f t="shared" ref="BC6:BH6" si="4">ROUND($AY$6*BC5/$AZ$5,2)</f>
        <v>211513.9</v>
      </c>
      <c r="BD6" s="16">
        <f t="shared" si="4"/>
        <v>4221.67</v>
      </c>
      <c r="BE6" s="16">
        <f t="shared" si="4"/>
        <v>251073.06</v>
      </c>
      <c r="BF6" s="16">
        <f t="shared" si="4"/>
        <v>0</v>
      </c>
      <c r="BG6" s="16">
        <f t="shared" si="4"/>
        <v>0</v>
      </c>
      <c r="BH6" s="16">
        <f t="shared" si="4"/>
        <v>0</v>
      </c>
      <c r="BI6" s="16">
        <f t="shared" ref="BI6:BT6" si="5">ROUND($AY$6*BI5/$AZ$5,2)</f>
        <v>0</v>
      </c>
      <c r="BJ6" s="16">
        <f t="shared" si="5"/>
        <v>0</v>
      </c>
      <c r="BK6" s="16">
        <f t="shared" si="5"/>
        <v>0</v>
      </c>
      <c r="BL6" s="16">
        <f t="shared" si="5"/>
        <v>5140.63</v>
      </c>
      <c r="BM6" s="16">
        <f t="shared" si="5"/>
        <v>0</v>
      </c>
      <c r="BN6" s="16">
        <f t="shared" si="5"/>
        <v>0</v>
      </c>
      <c r="BO6" s="16">
        <f t="shared" si="5"/>
        <v>0</v>
      </c>
      <c r="BP6" s="16">
        <f t="shared" si="5"/>
        <v>0</v>
      </c>
      <c r="BQ6" s="16">
        <f t="shared" si="5"/>
        <v>5140.63</v>
      </c>
      <c r="BR6" s="16">
        <f t="shared" si="5"/>
        <v>0</v>
      </c>
      <c r="BS6" s="16">
        <f t="shared" si="5"/>
        <v>0</v>
      </c>
      <c r="BT6" s="22">
        <f t="shared" si="5"/>
        <v>0</v>
      </c>
    </row>
    <row r="7" spans="1:72" s="2165" customFormat="1" ht="30">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1883</v>
      </c>
      <c r="AV7" s="23" t="s">
        <v>1884</v>
      </c>
      <c r="AW7" s="2164" t="s">
        <v>1885</v>
      </c>
      <c r="AX7" s="23" t="s">
        <v>1878</v>
      </c>
      <c r="AY7" s="1802"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30">
      <c r="A8" s="2180"/>
      <c r="B8" s="2180"/>
      <c r="C8" s="2180"/>
      <c r="D8" s="2180"/>
      <c r="E8" s="2180"/>
      <c r="F8" s="2180"/>
      <c r="G8" s="2181" t="s">
        <v>1887</v>
      </c>
      <c r="H8" s="2182" t="s">
        <v>1888</v>
      </c>
      <c r="I8" s="2183"/>
      <c r="J8" s="1817"/>
      <c r="K8" s="1817"/>
      <c r="L8" s="1817"/>
      <c r="M8" s="1817"/>
      <c r="N8" s="1817"/>
      <c r="O8" s="1817"/>
      <c r="P8" s="1817"/>
      <c r="Q8" s="1817"/>
      <c r="R8" s="1817"/>
      <c r="S8" s="1817"/>
      <c r="T8" s="1817"/>
      <c r="U8" s="1817"/>
      <c r="V8" s="2184"/>
      <c r="W8" s="1817"/>
      <c r="X8" s="1817"/>
      <c r="Y8" s="1817"/>
      <c r="Z8" s="1817"/>
      <c r="AA8" s="2184"/>
      <c r="AB8" s="2185"/>
      <c r="AC8" s="981" t="s">
        <v>1889</v>
      </c>
      <c r="AD8" s="2186"/>
      <c r="AE8" s="2178"/>
      <c r="AF8" s="1817"/>
      <c r="AG8" s="1817"/>
      <c r="AH8" s="1817"/>
      <c r="AI8" s="1817"/>
      <c r="AJ8" s="1817"/>
      <c r="AK8" s="1817"/>
      <c r="AL8" s="1817"/>
      <c r="AM8" s="1817"/>
      <c r="AN8" s="1817"/>
      <c r="AO8" s="1817"/>
      <c r="AP8" s="1817"/>
      <c r="AQ8" s="1817"/>
      <c r="AR8" s="1817"/>
      <c r="AS8" s="1817"/>
      <c r="AT8" s="1292" t="s">
        <v>1890</v>
      </c>
      <c r="AU8" s="2180" t="s">
        <v>1891</v>
      </c>
      <c r="AV8" s="1292"/>
      <c r="AW8" s="2163"/>
      <c r="AX8" s="1292"/>
      <c r="AY8" s="2164"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c r="A9" s="2180"/>
      <c r="B9" s="2180"/>
      <c r="C9" s="2180"/>
      <c r="D9" s="2180"/>
      <c r="E9" s="2180"/>
      <c r="F9" s="2180"/>
      <c r="G9" s="1292"/>
      <c r="H9" s="2188" t="s">
        <v>1894</v>
      </c>
      <c r="I9" s="2189" t="s">
        <v>3168</v>
      </c>
      <c r="J9" s="981"/>
      <c r="K9" s="2189" t="s">
        <v>3168</v>
      </c>
      <c r="L9" s="981"/>
      <c r="M9" s="2189" t="s">
        <v>3168</v>
      </c>
      <c r="N9" s="981"/>
      <c r="O9" s="2189" t="s">
        <v>4274</v>
      </c>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7"/>
      <c r="BN9" s="2183"/>
      <c r="BO9" s="1817"/>
      <c r="BP9" s="1817"/>
      <c r="BQ9" s="1817"/>
      <c r="BR9" s="1817"/>
      <c r="BS9" s="1817"/>
      <c r="BT9" s="26"/>
    </row>
    <row r="10" spans="1:72" s="2187" customFormat="1">
      <c r="A10" s="2180"/>
      <c r="B10" s="2180"/>
      <c r="C10" s="2180"/>
      <c r="D10" s="2180"/>
      <c r="E10" s="2180"/>
      <c r="F10" s="2180"/>
      <c r="G10" s="1292"/>
      <c r="H10" s="28"/>
      <c r="I10" s="2189" t="s">
        <v>3120</v>
      </c>
      <c r="J10" s="981"/>
      <c r="K10" s="2195" t="s">
        <v>3120</v>
      </c>
      <c r="L10" s="981"/>
      <c r="M10" s="2195" t="s">
        <v>1372</v>
      </c>
      <c r="N10" s="981"/>
      <c r="O10" s="2195" t="s">
        <v>4275</v>
      </c>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8"/>
      <c r="AF11" s="2202" t="s">
        <v>1904</v>
      </c>
      <c r="AG11" s="1818"/>
      <c r="AH11" s="2202" t="s">
        <v>1905</v>
      </c>
      <c r="AI11" s="2203"/>
      <c r="AJ11" s="2202" t="s">
        <v>1905</v>
      </c>
      <c r="AK11" s="1818"/>
      <c r="AL11" s="1816"/>
      <c r="AM11" s="1818"/>
      <c r="AN11" s="1816"/>
      <c r="AO11" s="1818"/>
      <c r="AP11" s="1816"/>
      <c r="AQ11" s="1818"/>
      <c r="AR11" s="1816"/>
      <c r="AS11" s="1818"/>
      <c r="AT11" s="2163"/>
      <c r="AU11" s="2180"/>
      <c r="AV11" s="1292"/>
      <c r="AW11" s="2163"/>
      <c r="AX11" s="1292"/>
      <c r="AY11" s="28"/>
      <c r="AZ11" s="28"/>
      <c r="BA11" s="28"/>
      <c r="BB11" s="2185" t="str">
        <f>I10</f>
        <v>住宅</v>
      </c>
      <c r="BC11" s="2185" t="str">
        <f>K10</f>
        <v>住宅</v>
      </c>
      <c r="BD11" s="2185" t="str">
        <f>M10</f>
        <v>商业</v>
      </c>
      <c r="BE11" s="2185" t="str">
        <f>O10</f>
        <v>仓储</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5">
      <c r="A12" s="2205"/>
      <c r="B12" s="2205"/>
      <c r="C12" s="2205"/>
      <c r="D12" s="2205"/>
      <c r="E12" s="2205"/>
      <c r="F12" s="2205"/>
      <c r="G12" s="30"/>
      <c r="H12" s="2206"/>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7"/>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c r="A13" s="1272"/>
      <c r="B13" s="1272"/>
      <c r="C13" s="1272" t="s">
        <v>4272</v>
      </c>
      <c r="D13" s="2211" t="s">
        <v>3167</v>
      </c>
      <c r="E13" s="16">
        <f>IF($C$3="是",ROUND($A$3*G13/$B$3,2),ROUND($A$3*(G13-AT13)/$B$3,2))</f>
        <v>535778.54</v>
      </c>
      <c r="F13" s="32"/>
      <c r="G13" s="33">
        <f>H13+AC13+AT13</f>
        <v>993873.23100000003</v>
      </c>
      <c r="H13" s="20">
        <f>SUMIF(I$12:AB$12,"总值",I13:AB13)</f>
        <v>984337.321</v>
      </c>
      <c r="I13" s="2212">
        <f>SUM(抵押物汇总!X5:X8)+抵押物汇总!X10+抵押物汇总!X12+SUM(抵押物汇总!X14:X19)</f>
        <v>118403.795</v>
      </c>
      <c r="J13" s="2212"/>
      <c r="K13" s="2212">
        <f>SUM(抵押物汇总!Y5:Y8)+抵押物汇总!Y10+抵押物汇总!Y12+SUM(抵押物汇总!Y14:Y19)</f>
        <v>392359.87599999993</v>
      </c>
      <c r="L13" s="2212"/>
      <c r="M13" s="2212">
        <f>SUM(抵押物汇总!AA5:AA8)+抵押物汇总!AA10+抵押物汇总!AA12+SUM(抵押物汇总!AA14:AA19)</f>
        <v>7831.23</v>
      </c>
      <c r="N13" s="2212"/>
      <c r="O13" s="2212">
        <f>SUM(抵押物汇总!AC5:AC8)+抵押物汇总!AC10+抵押物汇总!AC12+SUM(抵押物汇总!AC14:AC19)</f>
        <v>465742.42000000004</v>
      </c>
      <c r="P13" s="2212"/>
      <c r="Q13" s="2212"/>
      <c r="R13" s="2212"/>
      <c r="S13" s="2212"/>
      <c r="T13" s="2212"/>
      <c r="U13" s="2212"/>
      <c r="V13" s="2212"/>
      <c r="W13" s="2212"/>
      <c r="X13" s="2212"/>
      <c r="Y13" s="2212"/>
      <c r="Z13" s="2212"/>
      <c r="AA13" s="2212"/>
      <c r="AB13" s="2212"/>
      <c r="AC13" s="16">
        <f>SUMIF(AD$12:AS$12,"总值",AD13:AS13)</f>
        <v>9535.91</v>
      </c>
      <c r="AD13" s="2213"/>
      <c r="AE13" s="2213"/>
      <c r="AF13" s="2213"/>
      <c r="AG13" s="2213"/>
      <c r="AH13" s="2213"/>
      <c r="AI13" s="2213"/>
      <c r="AJ13" s="2213"/>
      <c r="AK13" s="2213"/>
      <c r="AL13" s="2212">
        <f>SUM(抵押物汇总!AB5:AB8)+抵押物汇总!AB10+抵押物汇总!AB12+SUM(抵押物汇总!AB14:AB19)</f>
        <v>9535.91</v>
      </c>
      <c r="AM13" s="2213"/>
      <c r="AN13" s="2213"/>
      <c r="AO13" s="2213"/>
      <c r="AP13" s="2213"/>
      <c r="AQ13" s="2213"/>
      <c r="AR13" s="2213"/>
      <c r="AS13" s="2213"/>
      <c r="AT13" s="2214"/>
      <c r="AU13" s="2215"/>
      <c r="AV13" s="11">
        <f t="shared" ref="AV13:AX17" si="6">A13</f>
        <v>0</v>
      </c>
      <c r="AW13" s="11">
        <f t="shared" si="6"/>
        <v>0</v>
      </c>
      <c r="AX13" s="11" t="str">
        <f t="shared" si="6"/>
        <v>土地</v>
      </c>
      <c r="AY13" s="1805">
        <f>ROUND($AY$6*AZ13/$AZ$5,2)</f>
        <v>535778.54</v>
      </c>
      <c r="AZ13" s="16">
        <f>BA13+BL13</f>
        <v>993873.23100000003</v>
      </c>
      <c r="BA13" s="16">
        <f>SUM(BB13:BK13)</f>
        <v>984337.321</v>
      </c>
      <c r="BB13" s="16">
        <f>IF($D13="是",I13-J13,0)</f>
        <v>118403.795</v>
      </c>
      <c r="BC13" s="16">
        <f>IF($D13="是",K13-L13,0)</f>
        <v>392359.87599999993</v>
      </c>
      <c r="BD13" s="16">
        <f>IF($D13="是",M13-N13,0)</f>
        <v>7831.23</v>
      </c>
      <c r="BE13" s="16">
        <f>IF($D13="是",O13-P13,0)</f>
        <v>465742.42000000004</v>
      </c>
      <c r="BF13" s="16">
        <f>IF($D13="是",Q13-R13,0)</f>
        <v>0</v>
      </c>
      <c r="BG13" s="16">
        <f>IF($D13="是",S13-T13,0)</f>
        <v>0</v>
      </c>
      <c r="BH13" s="16">
        <f>IF($D13="是",U13-V13,0)</f>
        <v>0</v>
      </c>
      <c r="BI13" s="16">
        <f>IF($D13="是",W13-X13,0)</f>
        <v>0</v>
      </c>
      <c r="BJ13" s="16">
        <f>IF($D13="是",Y13-Z13,0)</f>
        <v>0</v>
      </c>
      <c r="BK13" s="16">
        <f>IF($D13="是",AA13-AB13,0)</f>
        <v>0</v>
      </c>
      <c r="BL13" s="16">
        <f>SUM(BM13:BT13)</f>
        <v>9535.91</v>
      </c>
      <c r="BM13" s="16">
        <f>IF($D13="是",AD13-AE13,0)</f>
        <v>0</v>
      </c>
      <c r="BN13" s="16">
        <f>IF($D13="是",AF13-AG13,0)</f>
        <v>0</v>
      </c>
      <c r="BO13" s="16">
        <f>IF($D13="是",AH13-AI13,0)</f>
        <v>0</v>
      </c>
      <c r="BP13" s="16">
        <f>IF($D13="是",AJ13-AK13,0)</f>
        <v>0</v>
      </c>
      <c r="BQ13" s="16">
        <f>IF($D13="是",AL13-AM13,0)</f>
        <v>9535.91</v>
      </c>
      <c r="BR13" s="16">
        <f>IF($D13="是",AN13-AO13,0)</f>
        <v>0</v>
      </c>
      <c r="BS13" s="16">
        <f>IF($D13="是",AP13-AQ13,0)</f>
        <v>0</v>
      </c>
      <c r="BT13" s="22">
        <f>IF($D13="是",AR13-AS13,0)</f>
        <v>0</v>
      </c>
    </row>
    <row r="14" spans="1:72" s="2165" customFormat="1">
      <c r="A14" s="1272"/>
      <c r="B14" s="1272"/>
      <c r="C14" s="2151" t="s">
        <v>4273</v>
      </c>
      <c r="D14" s="2211" t="s">
        <v>4278</v>
      </c>
      <c r="E14" s="16">
        <f>IF($C$3="是",ROUND($A$3*G14/$B$3,2),ROUND($A$3*(G14-AT14)/$B$3,2))</f>
        <v>149114.47</v>
      </c>
      <c r="F14" s="32"/>
      <c r="G14" s="33">
        <f>H14+AC14+AT14</f>
        <v>276608.46000000002</v>
      </c>
      <c r="H14" s="20">
        <f>SUMIF(I$12:AB$12,"总值",I14:AB14)</f>
        <v>268403.31</v>
      </c>
      <c r="I14" s="2212">
        <f>抵押物汇总!X9+抵押物汇总!X11+抵押物汇总!X13</f>
        <v>73459.31</v>
      </c>
      <c r="J14" s="2212"/>
      <c r="K14" s="2212">
        <f>抵押物汇总!Y9+抵押物汇总!Y11+抵押物汇总!Y13</f>
        <v>79315.060000000012</v>
      </c>
      <c r="L14" s="2212"/>
      <c r="M14" s="2212">
        <f>抵押物汇总!AA9+抵押物汇总!AA11+抵押物汇总!AA13</f>
        <v>7826.51</v>
      </c>
      <c r="N14" s="2212"/>
      <c r="O14" s="2212">
        <f>抵押物汇总!AC9+抵押物汇总!AC11+抵押物汇总!AC13</f>
        <v>107802.43</v>
      </c>
      <c r="P14" s="2212"/>
      <c r="Q14" s="2212"/>
      <c r="R14" s="2212"/>
      <c r="S14" s="2212"/>
      <c r="T14" s="2212"/>
      <c r="U14" s="2212"/>
      <c r="V14" s="2212"/>
      <c r="W14" s="2212"/>
      <c r="X14" s="2212"/>
      <c r="Y14" s="2212"/>
      <c r="Z14" s="2212"/>
      <c r="AA14" s="2212"/>
      <c r="AB14" s="2212"/>
      <c r="AC14" s="16">
        <f>SUMIF(AD$12:AS$12,"总值",AD14:AS14)</f>
        <v>8205.15</v>
      </c>
      <c r="AD14" s="2213"/>
      <c r="AE14" s="2213"/>
      <c r="AF14" s="2213"/>
      <c r="AG14" s="2213"/>
      <c r="AH14" s="2213"/>
      <c r="AI14" s="2213"/>
      <c r="AJ14" s="2213"/>
      <c r="AK14" s="2213"/>
      <c r="AL14" s="2212">
        <f>抵押物汇总!AB9+抵押物汇总!AB11+抵押物汇总!AB13</f>
        <v>8205.15</v>
      </c>
      <c r="AM14" s="2213"/>
      <c r="AN14" s="2213"/>
      <c r="AO14" s="2213"/>
      <c r="AP14" s="2213"/>
      <c r="AQ14" s="2213"/>
      <c r="AR14" s="2213"/>
      <c r="AS14" s="2213"/>
      <c r="AT14" s="2214"/>
      <c r="AU14" s="2215"/>
      <c r="AV14" s="11">
        <f t="shared" si="6"/>
        <v>0</v>
      </c>
      <c r="AW14" s="11">
        <f t="shared" si="6"/>
        <v>0</v>
      </c>
      <c r="AX14" s="11" t="str">
        <f t="shared" si="6"/>
        <v>在建</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G45"/>
  <sheetViews>
    <sheetView zoomScale="89" zoomScaleNormal="140" workbookViewId="0">
      <pane xSplit="4" ySplit="4" topLeftCell="T26" activePane="bottomRight" state="frozen"/>
      <selection pane="topRight" activeCell="D1" sqref="D1"/>
      <selection pane="bottomLeft" activeCell="A3" sqref="A3"/>
      <selection pane="bottomRight" activeCell="Z32" sqref="Z32"/>
    </sheetView>
  </sheetViews>
  <sheetFormatPr baseColWidth="10" defaultColWidth="10.83203125" defaultRowHeight="36" customHeight="1"/>
  <cols>
    <col min="1" max="1" width="0.83203125" style="2963" customWidth="1"/>
    <col min="2" max="2" width="5.33203125" style="2963" customWidth="1"/>
    <col min="3" max="3" width="6.33203125" style="3088" customWidth="1"/>
    <col min="4" max="4" width="6.33203125" style="2963" customWidth="1"/>
    <col min="5" max="5" width="18.1640625" style="2963" customWidth="1"/>
    <col min="6" max="6" width="15.1640625" style="2963" customWidth="1"/>
    <col min="7" max="7" width="30" style="2963" customWidth="1"/>
    <col min="8" max="8" width="15.5" style="2963" customWidth="1"/>
    <col min="9" max="9" width="9" style="2963" customWidth="1"/>
    <col min="10" max="10" width="11.5" style="3049" bestFit="1" customWidth="1"/>
    <col min="11" max="11" width="12.6640625" style="2963" customWidth="1"/>
    <col min="12" max="12" width="7.33203125" style="2963" customWidth="1"/>
    <col min="13" max="13" width="14.1640625" style="2963" customWidth="1"/>
    <col min="14" max="14" width="11.83203125" style="2964" customWidth="1"/>
    <col min="15" max="15" width="9.83203125" style="2964" customWidth="1"/>
    <col min="16" max="16" width="10.83203125" style="2964"/>
    <col min="17" max="21" width="10.6640625" style="2963" customWidth="1"/>
    <col min="22" max="22" width="12.5" style="2964" bestFit="1" customWidth="1"/>
    <col min="23" max="23" width="10.83203125" style="2964"/>
    <col min="24" max="24" width="16.5" style="2964" bestFit="1" customWidth="1"/>
    <col min="25" max="25" width="17.6640625" style="2964" bestFit="1" customWidth="1"/>
    <col min="26" max="27" width="16.5" style="2964" bestFit="1" customWidth="1"/>
    <col min="28" max="28" width="15.33203125" style="2964" bestFit="1" customWidth="1"/>
    <col min="29" max="29" width="17.6640625" style="2964" bestFit="1" customWidth="1"/>
    <col min="30" max="31" width="12.1640625" style="2963" bestFit="1" customWidth="1"/>
    <col min="32" max="16384" width="10.83203125" style="2963"/>
  </cols>
  <sheetData>
    <row r="1" spans="2:33" ht="5" customHeight="1"/>
    <row r="2" spans="2:33" s="3010" customFormat="1" ht="36" customHeight="1">
      <c r="B2" s="3054" t="s">
        <v>3066</v>
      </c>
      <c r="C2" s="3058" t="s">
        <v>3148</v>
      </c>
      <c r="D2" s="3054" t="s">
        <v>4195</v>
      </c>
      <c r="E2" s="3054" t="s">
        <v>3080</v>
      </c>
      <c r="F2" s="3054" t="s">
        <v>3054</v>
      </c>
      <c r="G2" s="3054" t="s">
        <v>3056</v>
      </c>
      <c r="H2" s="3054" t="s">
        <v>3058</v>
      </c>
      <c r="I2" s="3054" t="s">
        <v>3060</v>
      </c>
      <c r="J2" s="3055" t="s">
        <v>3063</v>
      </c>
      <c r="K2" s="3054" t="s">
        <v>3079</v>
      </c>
      <c r="L2" s="3059" t="s">
        <v>3092</v>
      </c>
      <c r="M2" s="3054" t="s">
        <v>3128</v>
      </c>
      <c r="N2" s="3056" t="s">
        <v>3130</v>
      </c>
      <c r="O2" s="3056" t="s">
        <v>3131</v>
      </c>
      <c r="P2" s="3056" t="s">
        <v>3132</v>
      </c>
      <c r="Q2" s="3054" t="s">
        <v>3134</v>
      </c>
      <c r="R2" s="3054" t="s">
        <v>3132</v>
      </c>
      <c r="S2" s="3054" t="s">
        <v>3138</v>
      </c>
      <c r="T2" s="3059" t="s">
        <v>3141</v>
      </c>
      <c r="U2" s="3054" t="s">
        <v>4013</v>
      </c>
      <c r="V2" s="3227" t="s">
        <v>3468</v>
      </c>
      <c r="W2" s="3227"/>
      <c r="X2" s="3227"/>
      <c r="Y2" s="3227"/>
      <c r="Z2" s="3227"/>
      <c r="AA2" s="3227"/>
      <c r="AB2" s="3227"/>
      <c r="AC2" s="3227"/>
    </row>
    <row r="3" spans="2:33" s="3010" customFormat="1" ht="20" customHeight="1">
      <c r="B3" s="3054"/>
      <c r="C3" s="3058"/>
      <c r="D3" s="3054"/>
      <c r="E3" s="3054"/>
      <c r="F3" s="3054"/>
      <c r="G3" s="3054"/>
      <c r="H3" s="3054"/>
      <c r="I3" s="3054"/>
      <c r="J3" s="3055"/>
      <c r="K3" s="3054"/>
      <c r="L3" s="3059"/>
      <c r="M3" s="3054"/>
      <c r="N3" s="3056"/>
      <c r="O3" s="3056"/>
      <c r="P3" s="3056"/>
      <c r="Q3" s="3054"/>
      <c r="R3" s="3054"/>
      <c r="S3" s="3054"/>
      <c r="T3" s="3059"/>
      <c r="U3" s="3054"/>
      <c r="V3" s="3054" t="s">
        <v>3127</v>
      </c>
      <c r="W3" s="3054" t="s">
        <v>3959</v>
      </c>
      <c r="X3" s="3054"/>
      <c r="Y3" s="3054"/>
      <c r="Z3" s="3054"/>
      <c r="AA3" s="3054"/>
      <c r="AB3" s="3054"/>
      <c r="AC3" s="3054" t="s">
        <v>3960</v>
      </c>
    </row>
    <row r="4" spans="2:33" ht="20" customHeight="1" thickBot="1">
      <c r="B4" s="2972"/>
      <c r="C4" s="2972"/>
      <c r="D4" s="2972"/>
      <c r="E4" s="2972"/>
      <c r="F4" s="2972"/>
      <c r="G4" s="2972"/>
      <c r="H4" s="2972"/>
      <c r="I4" s="2972"/>
      <c r="J4" s="3050"/>
      <c r="K4" s="2972"/>
      <c r="L4" s="3045"/>
      <c r="M4" s="2972"/>
      <c r="N4" s="2992"/>
      <c r="O4" s="2992"/>
      <c r="P4" s="2992"/>
      <c r="Q4" s="2972"/>
      <c r="R4" s="2972"/>
      <c r="S4" s="2972"/>
      <c r="T4" s="3045"/>
      <c r="U4" s="2972"/>
      <c r="V4" s="2972"/>
      <c r="W4" s="2972" t="s">
        <v>3462</v>
      </c>
      <c r="X4" s="2972" t="s">
        <v>3956</v>
      </c>
      <c r="Y4" s="2972" t="s">
        <v>3963</v>
      </c>
      <c r="Z4" s="2972" t="s">
        <v>3957</v>
      </c>
      <c r="AA4" s="2972" t="s">
        <v>3104</v>
      </c>
      <c r="AB4" s="2972" t="s">
        <v>3958</v>
      </c>
      <c r="AC4" s="2972" t="s">
        <v>3961</v>
      </c>
    </row>
    <row r="5" spans="2:33" ht="36" customHeight="1" thickTop="1">
      <c r="B5" s="2965">
        <v>1</v>
      </c>
      <c r="C5" s="3011" t="s">
        <v>3149</v>
      </c>
      <c r="D5" s="2965"/>
      <c r="E5" s="2965" t="s">
        <v>3053</v>
      </c>
      <c r="F5" s="2965" t="s">
        <v>3055</v>
      </c>
      <c r="G5" s="2965" t="s">
        <v>3057</v>
      </c>
      <c r="H5" s="2965" t="s">
        <v>3059</v>
      </c>
      <c r="I5" s="2965" t="s">
        <v>3062</v>
      </c>
      <c r="J5" s="3051">
        <v>69193.33</v>
      </c>
      <c r="K5" s="2965" t="s">
        <v>3064</v>
      </c>
      <c r="L5" s="3046" t="s">
        <v>3065</v>
      </c>
      <c r="M5" s="2965" t="s">
        <v>3129</v>
      </c>
      <c r="N5" s="2966">
        <v>83032000</v>
      </c>
      <c r="O5" s="2993">
        <f>N5/P5</f>
        <v>1090.9091864612274</v>
      </c>
      <c r="P5" s="2966">
        <v>76112.66</v>
      </c>
      <c r="Q5" s="3009" t="s">
        <v>3136</v>
      </c>
      <c r="R5" s="3009" t="s">
        <v>3137</v>
      </c>
      <c r="S5" s="3009" t="s">
        <v>3140</v>
      </c>
      <c r="T5" s="3072" t="s">
        <v>3143</v>
      </c>
      <c r="U5" s="3010"/>
      <c r="V5" s="2964">
        <f>W5+AC5</f>
        <v>116036.25</v>
      </c>
      <c r="W5" s="2964">
        <f>SUM(X5:AB5)</f>
        <v>56783.709999999992</v>
      </c>
      <c r="Y5" s="2964">
        <f>'建设单位-地块-组团-楼栋面积明细表'!F438</f>
        <v>54002.169999999991</v>
      </c>
      <c r="AA5" s="2964">
        <f>'建设单位-地块-组团-楼栋面积明细表'!G438</f>
        <v>1365.68</v>
      </c>
      <c r="AB5" s="2964">
        <f>'建设单位-地块-组团-楼栋面积明细表'!H438</f>
        <v>1415.86</v>
      </c>
      <c r="AC5" s="2964">
        <f>'建设单位-地块-组团-楼栋面积明细表'!I438</f>
        <v>59252.54</v>
      </c>
      <c r="AG5" s="2963">
        <f>X5*3500</f>
        <v>0</v>
      </c>
    </row>
    <row r="6" spans="2:33" ht="36" customHeight="1">
      <c r="B6" s="2970">
        <v>2</v>
      </c>
      <c r="C6" s="2970" t="s">
        <v>3150</v>
      </c>
      <c r="D6" s="2970"/>
      <c r="E6" s="2970" t="s">
        <v>3067</v>
      </c>
      <c r="F6" s="2970" t="s">
        <v>3055</v>
      </c>
      <c r="G6" s="2970" t="s">
        <v>3068</v>
      </c>
      <c r="H6" s="2970" t="s">
        <v>3069</v>
      </c>
      <c r="I6" s="2970" t="s">
        <v>3062</v>
      </c>
      <c r="J6" s="3052">
        <v>65093.33</v>
      </c>
      <c r="K6" s="2970" t="s">
        <v>3064</v>
      </c>
      <c r="L6" s="3047" t="s">
        <v>3065</v>
      </c>
      <c r="M6" s="2970" t="s">
        <v>3144</v>
      </c>
      <c r="N6" s="2971">
        <v>78112000</v>
      </c>
      <c r="O6" s="2994">
        <f t="shared" ref="O6:O19" si="0">N6/P6</f>
        <v>1090.9091924797206</v>
      </c>
      <c r="P6" s="2971">
        <v>71602.66</v>
      </c>
      <c r="Q6" s="2970" t="s">
        <v>3136</v>
      </c>
      <c r="R6" s="2970" t="s">
        <v>3137</v>
      </c>
      <c r="S6" s="2970" t="s">
        <v>3140</v>
      </c>
      <c r="T6" s="3047" t="s">
        <v>3143</v>
      </c>
      <c r="U6" s="2970"/>
      <c r="V6" s="3057">
        <f t="shared" ref="V6:V21" si="1">W6+AC6</f>
        <v>180894.815</v>
      </c>
      <c r="W6" s="3057">
        <f t="shared" ref="W6:W21" si="2">SUM(X6:AB6)</f>
        <v>126600.58500000001</v>
      </c>
      <c r="X6" s="2971">
        <f>'建设单位-地块-组团-楼栋面积明细表'!E383</f>
        <v>96348.654999999999</v>
      </c>
      <c r="Y6" s="2971">
        <f>'建设单位-地块-组团-楼栋面积明细表'!F383</f>
        <v>26827.719999999998</v>
      </c>
      <c r="Z6" s="2971"/>
      <c r="AA6" s="2971">
        <f>'建设单位-地块-组团-楼栋面积明细表'!G383</f>
        <v>1657.6</v>
      </c>
      <c r="AB6" s="2971">
        <f>'建设单位-地块-组团-楼栋面积明细表'!H383</f>
        <v>1766.61</v>
      </c>
      <c r="AC6" s="2971">
        <f>'建设单位-地块-组团-楼栋面积明细表'!I383</f>
        <v>54294.229999999996</v>
      </c>
    </row>
    <row r="7" spans="2:33" ht="36" customHeight="1">
      <c r="B7" s="2965">
        <v>3</v>
      </c>
      <c r="C7" s="3011" t="s">
        <v>3151</v>
      </c>
      <c r="D7" s="2965"/>
      <c r="E7" s="2965" t="s">
        <v>3070</v>
      </c>
      <c r="F7" s="2965" t="s">
        <v>3055</v>
      </c>
      <c r="G7" s="2965" t="s">
        <v>3071</v>
      </c>
      <c r="H7" s="2965" t="s">
        <v>3072</v>
      </c>
      <c r="I7" s="2965" t="s">
        <v>3062</v>
      </c>
      <c r="J7" s="3051">
        <v>45086.67</v>
      </c>
      <c r="K7" s="2965" t="s">
        <v>3073</v>
      </c>
      <c r="L7" s="3046" t="s">
        <v>3065</v>
      </c>
      <c r="M7" s="2965" t="s">
        <v>3145</v>
      </c>
      <c r="N7" s="2966">
        <v>54104000</v>
      </c>
      <c r="O7" s="2993">
        <f t="shared" si="0"/>
        <v>1090.9091642297772</v>
      </c>
      <c r="P7" s="2966">
        <v>49595.33</v>
      </c>
      <c r="Q7" s="2965" t="s">
        <v>3136</v>
      </c>
      <c r="R7" s="2965" t="s">
        <v>3137</v>
      </c>
      <c r="S7" s="2965" t="s">
        <v>3140</v>
      </c>
      <c r="T7" s="3046" t="s">
        <v>3143</v>
      </c>
      <c r="U7" s="3010"/>
      <c r="V7" s="2964">
        <f t="shared" si="1"/>
        <v>99694.849999999991</v>
      </c>
      <c r="W7" s="2964">
        <f t="shared" si="2"/>
        <v>57144.529999999992</v>
      </c>
      <c r="X7" s="2964">
        <f>'建设单位-地块-组团-楼栋面积明细表'!E410</f>
        <v>22055.14</v>
      </c>
      <c r="Y7" s="2964">
        <f>'建设单位-地块-组团-楼栋面积明细表'!F410</f>
        <v>32762.819999999996</v>
      </c>
      <c r="AA7" s="2964">
        <f>'建设单位-地块-组团-楼栋面积明细表'!G410</f>
        <v>1882.54</v>
      </c>
      <c r="AB7" s="2964">
        <f>'建设单位-地块-组团-楼栋面积明细表'!H410</f>
        <v>444.03</v>
      </c>
      <c r="AC7" s="2964">
        <f>'建设单位-地块-组团-楼栋面积明细表'!I410</f>
        <v>42550.32</v>
      </c>
    </row>
    <row r="8" spans="2:33" ht="36" customHeight="1">
      <c r="B8" s="2970">
        <v>4</v>
      </c>
      <c r="C8" s="2970" t="s">
        <v>3152</v>
      </c>
      <c r="D8" s="2970"/>
      <c r="E8" s="2970" t="s">
        <v>3074</v>
      </c>
      <c r="F8" s="2970" t="s">
        <v>3075</v>
      </c>
      <c r="G8" s="2970" t="s">
        <v>3076</v>
      </c>
      <c r="H8" s="2970" t="s">
        <v>3088</v>
      </c>
      <c r="I8" s="2970" t="s">
        <v>3078</v>
      </c>
      <c r="J8" s="3052">
        <v>42826.67</v>
      </c>
      <c r="K8" s="3135">
        <v>67271</v>
      </c>
      <c r="L8" s="3047"/>
      <c r="M8" s="2970" t="s">
        <v>3146</v>
      </c>
      <c r="N8" s="2971">
        <v>51392000</v>
      </c>
      <c r="O8" s="2994">
        <f t="shared" si="0"/>
        <v>1090.9091680989732</v>
      </c>
      <c r="P8" s="2971">
        <v>47109.33</v>
      </c>
      <c r="Q8" s="2970" t="s">
        <v>3136</v>
      </c>
      <c r="R8" s="2970" t="s">
        <v>3137</v>
      </c>
      <c r="S8" s="2970" t="s">
        <v>3140</v>
      </c>
      <c r="T8" s="3047" t="s">
        <v>3143</v>
      </c>
      <c r="U8" s="2970"/>
      <c r="V8" s="3057">
        <f t="shared" si="1"/>
        <v>75824.98</v>
      </c>
      <c r="W8" s="3057">
        <f t="shared" si="2"/>
        <v>37469.06</v>
      </c>
      <c r="X8" s="2971"/>
      <c r="Y8" s="2971">
        <f>'建设单位-地块-组团-楼栋面积明细表'!F468</f>
        <v>37469.06</v>
      </c>
      <c r="Z8" s="2971"/>
      <c r="AA8" s="2971"/>
      <c r="AB8" s="2971"/>
      <c r="AC8" s="2971">
        <f>'建设单位-地块-组团-楼栋面积明细表'!I468</f>
        <v>38355.919999999998</v>
      </c>
    </row>
    <row r="9" spans="2:33" ht="36" customHeight="1">
      <c r="B9" s="2965">
        <v>5</v>
      </c>
      <c r="C9" s="3011" t="s">
        <v>3157</v>
      </c>
      <c r="D9" s="2965"/>
      <c r="E9" s="2965" t="s">
        <v>3116</v>
      </c>
      <c r="F9" s="2965" t="s">
        <v>3086</v>
      </c>
      <c r="G9" s="2965" t="s">
        <v>3114</v>
      </c>
      <c r="H9" s="2965" t="s">
        <v>3088</v>
      </c>
      <c r="I9" s="2965" t="s">
        <v>3078</v>
      </c>
      <c r="J9" s="3051">
        <v>56133</v>
      </c>
      <c r="K9" s="2967">
        <v>67340</v>
      </c>
      <c r="L9" s="3046"/>
      <c r="M9" s="2965" t="s">
        <v>3166</v>
      </c>
      <c r="N9" s="2966">
        <v>25260000</v>
      </c>
      <c r="O9" s="2993">
        <f t="shared" si="0"/>
        <v>409.09333838626765</v>
      </c>
      <c r="P9" s="2966">
        <v>61746.3</v>
      </c>
      <c r="Q9" s="2965" t="s">
        <v>3136</v>
      </c>
      <c r="R9" s="2965" t="s">
        <v>3161</v>
      </c>
      <c r="S9" s="2965" t="s">
        <v>3140</v>
      </c>
      <c r="T9" s="3046" t="s">
        <v>3143</v>
      </c>
      <c r="U9" s="3010" t="s">
        <v>4014</v>
      </c>
      <c r="V9" s="2964">
        <f t="shared" si="1"/>
        <v>136213.11000000002</v>
      </c>
      <c r="W9" s="2964">
        <f t="shared" si="2"/>
        <v>43700.87000000001</v>
      </c>
      <c r="X9" s="2964">
        <f>SUMIF(工程规划!G:G,C9,工程规划!S:S)</f>
        <v>0</v>
      </c>
      <c r="Y9" s="2964">
        <f>SUMIF(工程规划!G:G,C9,工程规划!R:R)</f>
        <v>43423.260000000009</v>
      </c>
      <c r="AA9" s="2964">
        <f>SUMIF(工程规划!G:G,C9,工程规划!K:K)</f>
        <v>60.25</v>
      </c>
      <c r="AB9" s="2964">
        <f>SUMIF(工程规划!G:G,C9,工程规划!L:L)</f>
        <v>217.35999999999999</v>
      </c>
      <c r="AC9" s="2964">
        <f>SUMIF(工程规划!G:G,C9,工程规划!M:M)</f>
        <v>92512.24</v>
      </c>
      <c r="AD9" s="2963" t="s">
        <v>4282</v>
      </c>
    </row>
    <row r="10" spans="2:33" s="3104" customFormat="1" ht="36" customHeight="1">
      <c r="B10" s="3105"/>
      <c r="C10" s="3105"/>
      <c r="D10" s="3105"/>
      <c r="E10" s="3105"/>
      <c r="F10" s="3105"/>
      <c r="G10" s="3105"/>
      <c r="H10" s="3105"/>
      <c r="I10" s="3105"/>
      <c r="J10" s="3051"/>
      <c r="K10" s="2967"/>
      <c r="L10" s="3046"/>
      <c r="M10" s="3105"/>
      <c r="N10" s="2966"/>
      <c r="O10" s="2993"/>
      <c r="P10" s="2966"/>
      <c r="Q10" s="3105"/>
      <c r="R10" s="3105"/>
      <c r="S10" s="3105"/>
      <c r="T10" s="3046"/>
      <c r="U10" s="3105"/>
      <c r="V10" s="2964">
        <f t="shared" si="1"/>
        <v>17891.79</v>
      </c>
      <c r="W10" s="2964">
        <f t="shared" si="2"/>
        <v>8022.79</v>
      </c>
      <c r="X10" s="2964"/>
      <c r="Y10" s="2964">
        <f>SUM('建设单位-地块-组团-楼栋面积明细表'!F171:F175)</f>
        <v>8022.79</v>
      </c>
      <c r="Z10" s="2964"/>
      <c r="AA10" s="2964"/>
      <c r="AB10" s="2964"/>
      <c r="AC10" s="2964">
        <f>'建设单位-地块-组团-楼栋面积明细表'!I171</f>
        <v>9869</v>
      </c>
    </row>
    <row r="11" spans="2:33" ht="36" customHeight="1">
      <c r="B11" s="2970">
        <v>6</v>
      </c>
      <c r="C11" s="2970" t="s">
        <v>3442</v>
      </c>
      <c r="D11" s="2970"/>
      <c r="E11" s="2970" t="s">
        <v>3117</v>
      </c>
      <c r="F11" s="2970" t="s">
        <v>3086</v>
      </c>
      <c r="G11" s="2970" t="s">
        <v>3083</v>
      </c>
      <c r="H11" s="2970" t="s">
        <v>3088</v>
      </c>
      <c r="I11" s="2970" t="s">
        <v>3078</v>
      </c>
      <c r="J11" s="3052">
        <v>69533</v>
      </c>
      <c r="K11" s="3135">
        <v>66591</v>
      </c>
      <c r="L11" s="3047"/>
      <c r="M11" s="2970" t="s">
        <v>3454</v>
      </c>
      <c r="N11" s="2971">
        <v>31290000</v>
      </c>
      <c r="O11" s="2994">
        <f t="shared" si="0"/>
        <v>409.09287022643269</v>
      </c>
      <c r="P11" s="2971">
        <v>76486.3</v>
      </c>
      <c r="Q11" s="2970" t="s">
        <v>3136</v>
      </c>
      <c r="R11" s="2970" t="s">
        <v>3161</v>
      </c>
      <c r="S11" s="2970" t="s">
        <v>3140</v>
      </c>
      <c r="T11" s="3047" t="s">
        <v>3143</v>
      </c>
      <c r="U11" s="2970" t="s">
        <v>4014</v>
      </c>
      <c r="V11" s="3057">
        <f t="shared" si="1"/>
        <v>63878.13</v>
      </c>
      <c r="W11" s="3057">
        <f t="shared" si="2"/>
        <v>60306.619999999995</v>
      </c>
      <c r="X11" s="2971">
        <f>SUMIF(工程规划!G:G,C11,工程规划!S:S)</f>
        <v>42125.119999999995</v>
      </c>
      <c r="Y11" s="2971">
        <f>SUMIF(工程规划!G:G,C11,工程规划!R:R)</f>
        <v>8362.61</v>
      </c>
      <c r="Z11" s="2971"/>
      <c r="AA11" s="2971">
        <f>SUMIF(工程规划!G:G,C11,工程规划!K:K)</f>
        <v>6344.63</v>
      </c>
      <c r="AB11" s="2971">
        <f>SUMIF(工程规划!G:G,C11,工程规划!L:L)</f>
        <v>3474.2599999999998</v>
      </c>
      <c r="AC11" s="2971">
        <f>SUMIF(工程规划!G:G,C11,工程规划!M:M)</f>
        <v>3571.51</v>
      </c>
      <c r="AD11" s="2963" t="s">
        <v>4283</v>
      </c>
    </row>
    <row r="12" spans="2:33" s="3104" customFormat="1" ht="36" customHeight="1">
      <c r="B12" s="2970"/>
      <c r="C12" s="2970"/>
      <c r="D12" s="2970"/>
      <c r="E12" s="2970"/>
      <c r="F12" s="2970"/>
      <c r="G12" s="2970"/>
      <c r="H12" s="2970"/>
      <c r="I12" s="2970"/>
      <c r="J12" s="3052"/>
      <c r="K12" s="3135"/>
      <c r="L12" s="3047"/>
      <c r="M12" s="2970"/>
      <c r="N12" s="2971"/>
      <c r="O12" s="2994"/>
      <c r="P12" s="2971"/>
      <c r="Q12" s="2970"/>
      <c r="R12" s="2970"/>
      <c r="S12" s="2970"/>
      <c r="T12" s="3047"/>
      <c r="U12" s="2970"/>
      <c r="V12" s="3057">
        <f t="shared" si="1"/>
        <v>27061.406000000003</v>
      </c>
      <c r="W12" s="3057">
        <f t="shared" si="2"/>
        <v>14512.146000000001</v>
      </c>
      <c r="X12" s="2971"/>
      <c r="Y12" s="2971">
        <f>SUM('建设单位-地块-组团-楼栋面积明细表'!F188:F194)</f>
        <v>11822.796</v>
      </c>
      <c r="Z12" s="2971"/>
      <c r="AA12" s="2971">
        <f>'建设单位-地块-组团-楼栋面积明细表'!G193</f>
        <v>2689.35</v>
      </c>
      <c r="AB12" s="2971"/>
      <c r="AC12" s="2971">
        <f>'建设单位-地块-组团-楼栋面积明细表'!I188</f>
        <v>12549.26</v>
      </c>
    </row>
    <row r="13" spans="2:33" ht="36" customHeight="1">
      <c r="B13" s="2965">
        <v>7</v>
      </c>
      <c r="C13" s="3011" t="s">
        <v>3443</v>
      </c>
      <c r="D13" s="2965" t="s">
        <v>4196</v>
      </c>
      <c r="E13" s="2965" t="s">
        <v>3118</v>
      </c>
      <c r="F13" s="2965" t="s">
        <v>3086</v>
      </c>
      <c r="G13" s="2965" t="s">
        <v>3115</v>
      </c>
      <c r="H13" s="2965" t="s">
        <v>3088</v>
      </c>
      <c r="I13" s="2965" t="s">
        <v>3078</v>
      </c>
      <c r="J13" s="3051">
        <v>69666.67</v>
      </c>
      <c r="K13" s="2967">
        <v>67122</v>
      </c>
      <c r="L13" s="3046"/>
      <c r="M13" s="2995" t="s">
        <v>3453</v>
      </c>
      <c r="N13" s="2996">
        <v>68970000</v>
      </c>
      <c r="O13" s="2997">
        <f>N13/P13</f>
        <v>900.00003914745707</v>
      </c>
      <c r="P13" s="2996">
        <v>76633.33</v>
      </c>
      <c r="Q13" s="2995" t="s">
        <v>3135</v>
      </c>
      <c r="R13" s="2995" t="s">
        <v>3160</v>
      </c>
      <c r="S13" s="2995" t="s">
        <v>3139</v>
      </c>
      <c r="T13" s="3060" t="s">
        <v>3142</v>
      </c>
      <c r="U13" s="3073" t="s">
        <v>4014</v>
      </c>
      <c r="V13" s="2964">
        <f t="shared" si="1"/>
        <v>76517.22</v>
      </c>
      <c r="W13" s="2964">
        <f t="shared" si="2"/>
        <v>64798.54</v>
      </c>
      <c r="X13" s="2964">
        <f>SUMIF(工程规划!G:G,C13,工程规划!S:S)</f>
        <v>31334.190000000002</v>
      </c>
      <c r="Y13" s="2964">
        <f>SUMIF(工程规划!G:G,C13,工程规划!R:R)</f>
        <v>27529.190000000006</v>
      </c>
      <c r="AA13" s="2964">
        <f>SUMIF(工程规划!G:G,C13,工程规划!K:K)</f>
        <v>1421.63</v>
      </c>
      <c r="AB13" s="2964">
        <f>SUMIF(工程规划!G:G,C13,工程规划!L:L)</f>
        <v>4513.53</v>
      </c>
      <c r="AC13" s="2964">
        <f>SUMIF(工程规划!G:G,C13,工程规划!M:M)</f>
        <v>11718.68</v>
      </c>
      <c r="AD13" s="2963" t="s">
        <v>4284</v>
      </c>
      <c r="AE13" s="2963" t="s">
        <v>4285</v>
      </c>
    </row>
    <row r="14" spans="2:33" s="3104" customFormat="1" ht="36" customHeight="1">
      <c r="B14" s="3105"/>
      <c r="C14" s="3105"/>
      <c r="D14" s="3105"/>
      <c r="E14" s="3105"/>
      <c r="F14" s="3105"/>
      <c r="G14" s="3105"/>
      <c r="H14" s="3105"/>
      <c r="I14" s="3105"/>
      <c r="J14" s="3051"/>
      <c r="K14" s="2967"/>
      <c r="L14" s="3046"/>
      <c r="M14" s="2995"/>
      <c r="N14" s="2996"/>
      <c r="O14" s="2997"/>
      <c r="P14" s="2996"/>
      <c r="Q14" s="2995"/>
      <c r="R14" s="2995"/>
      <c r="S14" s="2995"/>
      <c r="T14" s="3060"/>
      <c r="U14" s="3073"/>
      <c r="V14" s="2964">
        <f t="shared" ref="V14" si="3">W14+AC14</f>
        <v>23736.720000000001</v>
      </c>
      <c r="W14" s="2964">
        <f t="shared" ref="W14" si="4">SUM(X14:AB14)</f>
        <v>10984.880000000001</v>
      </c>
      <c r="X14" s="2964"/>
      <c r="Y14" s="2964">
        <f>SUM('建设单位-地块-组团-楼栋面积明细表'!F215:F220)</f>
        <v>10984.880000000001</v>
      </c>
      <c r="Z14" s="2964"/>
      <c r="AA14" s="2964"/>
      <c r="AB14" s="2964"/>
      <c r="AC14" s="2964">
        <f>'建设单位-地块-组团-楼栋面积明细表'!I214</f>
        <v>12751.84</v>
      </c>
      <c r="AD14" s="3104" t="s">
        <v>4286</v>
      </c>
    </row>
    <row r="15" spans="2:33" ht="36" customHeight="1">
      <c r="B15" s="2970">
        <v>8</v>
      </c>
      <c r="C15" s="2970" t="s">
        <v>3444</v>
      </c>
      <c r="D15" s="2970"/>
      <c r="E15" s="2970" t="s">
        <v>3119</v>
      </c>
      <c r="F15" s="2970" t="s">
        <v>3086</v>
      </c>
      <c r="G15" s="2970" t="s">
        <v>3083</v>
      </c>
      <c r="H15" s="2970" t="s">
        <v>3088</v>
      </c>
      <c r="I15" s="2970" t="s">
        <v>3121</v>
      </c>
      <c r="J15" s="3052">
        <v>60067</v>
      </c>
      <c r="K15" s="3135">
        <v>66609</v>
      </c>
      <c r="L15" s="3047"/>
      <c r="M15" s="2970" t="s">
        <v>3452</v>
      </c>
      <c r="N15" s="2971">
        <v>27030000</v>
      </c>
      <c r="O15" s="2994">
        <f t="shared" si="0"/>
        <v>409.0929729238872</v>
      </c>
      <c r="P15" s="2971">
        <v>66073</v>
      </c>
      <c r="Q15" s="2970" t="s">
        <v>3136</v>
      </c>
      <c r="R15" s="2970" t="s">
        <v>3161</v>
      </c>
      <c r="S15" s="2970" t="s">
        <v>3140</v>
      </c>
      <c r="T15" s="3047" t="s">
        <v>3143</v>
      </c>
      <c r="U15" s="2970"/>
      <c r="V15" s="3057">
        <f t="shared" si="1"/>
        <v>108268.28</v>
      </c>
      <c r="W15" s="3057">
        <f t="shared" si="2"/>
        <v>54035.15</v>
      </c>
      <c r="X15" s="2971"/>
      <c r="Y15" s="2971">
        <f>'建设单位-地块-组团-楼栋面积明细表'!F276</f>
        <v>48892.480000000003</v>
      </c>
      <c r="Z15" s="2971"/>
      <c r="AA15" s="2971"/>
      <c r="AB15" s="2971">
        <f>'建设单位-地块-组团-楼栋面积明细表'!H276</f>
        <v>5142.67</v>
      </c>
      <c r="AC15" s="2971">
        <f>'建设单位-地块-组团-楼栋面积明细表'!I276</f>
        <v>54233.13</v>
      </c>
    </row>
    <row r="16" spans="2:33" ht="36" customHeight="1">
      <c r="B16" s="2965">
        <v>9</v>
      </c>
      <c r="C16" s="3011" t="s">
        <v>3445</v>
      </c>
      <c r="D16" s="2965"/>
      <c r="E16" s="2965" t="s">
        <v>3122</v>
      </c>
      <c r="F16" s="2965" t="s">
        <v>3086</v>
      </c>
      <c r="G16" s="2965" t="s">
        <v>3115</v>
      </c>
      <c r="H16" s="2965" t="s">
        <v>3088</v>
      </c>
      <c r="I16" s="2965" t="s">
        <v>3078</v>
      </c>
      <c r="J16" s="3051">
        <v>64766.67</v>
      </c>
      <c r="K16" s="2967">
        <v>67122</v>
      </c>
      <c r="L16" s="3046"/>
      <c r="M16" s="2995" t="s">
        <v>3451</v>
      </c>
      <c r="N16" s="2996">
        <v>86463500</v>
      </c>
      <c r="O16" s="2997">
        <f>N16/P16</f>
        <v>1213.6364204199888</v>
      </c>
      <c r="P16" s="2996">
        <v>71243.33</v>
      </c>
      <c r="Q16" s="2995" t="s">
        <v>3135</v>
      </c>
      <c r="R16" s="2995" t="s">
        <v>3160</v>
      </c>
      <c r="S16" s="2995" t="s">
        <v>3139</v>
      </c>
      <c r="T16" s="3060" t="s">
        <v>3142</v>
      </c>
      <c r="U16" s="3073"/>
      <c r="V16" s="2964">
        <f t="shared" si="1"/>
        <v>104226.65000000002</v>
      </c>
      <c r="W16" s="2964">
        <f t="shared" si="2"/>
        <v>48749.580000000016</v>
      </c>
      <c r="Y16" s="2964">
        <f>'建设单位-地块-组团-楼栋面积明细表'!F304</f>
        <v>48749.580000000016</v>
      </c>
      <c r="AC16" s="2964">
        <f>'建设单位-地块-组团-楼栋面积明细表'!I304</f>
        <v>55477.07</v>
      </c>
    </row>
    <row r="17" spans="2:31" ht="36" customHeight="1">
      <c r="B17" s="2970">
        <v>10</v>
      </c>
      <c r="C17" s="2970" t="s">
        <v>3158</v>
      </c>
      <c r="D17" s="2970"/>
      <c r="E17" s="2970" t="s">
        <v>3123</v>
      </c>
      <c r="F17" s="2970" t="s">
        <v>3086</v>
      </c>
      <c r="G17" s="2970" t="s">
        <v>3124</v>
      </c>
      <c r="H17" s="2970" t="s">
        <v>3088</v>
      </c>
      <c r="I17" s="2970" t="s">
        <v>3078</v>
      </c>
      <c r="J17" s="3052">
        <v>51693</v>
      </c>
      <c r="K17" s="3135">
        <v>66592</v>
      </c>
      <c r="L17" s="3047"/>
      <c r="M17" s="2970" t="s">
        <v>3450</v>
      </c>
      <c r="N17" s="2971">
        <v>23409326</v>
      </c>
      <c r="O17" s="2994">
        <f t="shared" si="0"/>
        <v>411.68447284052877</v>
      </c>
      <c r="P17" s="2971">
        <v>56862.3</v>
      </c>
      <c r="Q17" s="2970" t="s">
        <v>3136</v>
      </c>
      <c r="R17" s="2970" t="s">
        <v>3161</v>
      </c>
      <c r="S17" s="2970" t="s">
        <v>3140</v>
      </c>
      <c r="T17" s="3047" t="s">
        <v>3143</v>
      </c>
      <c r="U17" s="2970"/>
      <c r="V17" s="3057">
        <f t="shared" si="1"/>
        <v>99722.75</v>
      </c>
      <c r="W17" s="3057">
        <f t="shared" si="2"/>
        <v>50497.599999999991</v>
      </c>
      <c r="X17" s="2971"/>
      <c r="Y17" s="2971">
        <f>'建设单位-地块-组团-楼栋面积明细表'!F330</f>
        <v>49494.799999999996</v>
      </c>
      <c r="Z17" s="2971"/>
      <c r="AA17" s="2971">
        <f>'建设单位-地块-组团-楼栋面积明细表'!G330</f>
        <v>236.05999999999995</v>
      </c>
      <c r="AB17" s="2971">
        <f>'建设单位-地块-组团-楼栋面积明细表'!H330</f>
        <v>766.74</v>
      </c>
      <c r="AC17" s="2971">
        <f>'建设单位-地块-组团-楼栋面积明细表'!I330</f>
        <v>49225.15</v>
      </c>
    </row>
    <row r="18" spans="2:31" ht="36" customHeight="1">
      <c r="B18" s="2965">
        <v>11</v>
      </c>
      <c r="C18" s="3011" t="s">
        <v>3446</v>
      </c>
      <c r="D18" s="2965"/>
      <c r="E18" s="2965" t="s">
        <v>3125</v>
      </c>
      <c r="F18" s="2965" t="s">
        <v>3086</v>
      </c>
      <c r="G18" s="2965" t="s">
        <v>3083</v>
      </c>
      <c r="H18" s="2965" t="s">
        <v>3088</v>
      </c>
      <c r="I18" s="2965" t="s">
        <v>3078</v>
      </c>
      <c r="J18" s="3051">
        <v>44067</v>
      </c>
      <c r="K18" s="2967">
        <v>66609</v>
      </c>
      <c r="L18" s="3046"/>
      <c r="M18" s="2965" t="s">
        <v>3449</v>
      </c>
      <c r="N18" s="2966">
        <v>19830000</v>
      </c>
      <c r="O18" s="2993">
        <f t="shared" si="0"/>
        <v>409.08781462937634</v>
      </c>
      <c r="P18" s="2966">
        <v>48473.7</v>
      </c>
      <c r="Q18" s="2965" t="s">
        <v>3135</v>
      </c>
      <c r="R18" s="2965" t="s">
        <v>3160</v>
      </c>
      <c r="S18" s="2965" t="s">
        <v>3139</v>
      </c>
      <c r="T18" s="3046" t="s">
        <v>3142</v>
      </c>
      <c r="U18" s="3010"/>
      <c r="V18" s="2964">
        <f t="shared" si="1"/>
        <v>82997.039999999994</v>
      </c>
      <c r="W18" s="2964">
        <f t="shared" si="2"/>
        <v>40959.319999999992</v>
      </c>
      <c r="Y18" s="2964">
        <f>'建设单位-地块-组团-楼栋面积明细表'!F352</f>
        <v>40959.319999999992</v>
      </c>
      <c r="AC18" s="2964">
        <f>'建设单位-地块-组团-楼栋面积明细表'!I352</f>
        <v>42037.72</v>
      </c>
    </row>
    <row r="19" spans="2:31" ht="36" customHeight="1">
      <c r="B19" s="2970">
        <v>12</v>
      </c>
      <c r="C19" s="2970" t="s">
        <v>3447</v>
      </c>
      <c r="D19" s="2970"/>
      <c r="E19" s="2970" t="s">
        <v>3126</v>
      </c>
      <c r="F19" s="2970" t="s">
        <v>3086</v>
      </c>
      <c r="G19" s="2970" t="s">
        <v>3115</v>
      </c>
      <c r="H19" s="2970" t="s">
        <v>3088</v>
      </c>
      <c r="I19" s="2970" t="s">
        <v>3078</v>
      </c>
      <c r="J19" s="3052">
        <v>46766.67</v>
      </c>
      <c r="K19" s="3135">
        <v>67122</v>
      </c>
      <c r="L19" s="3047"/>
      <c r="M19" s="2970" t="s">
        <v>3448</v>
      </c>
      <c r="N19" s="2971">
        <v>59627500</v>
      </c>
      <c r="O19" s="2994">
        <f t="shared" si="0"/>
        <v>1159.0909841956186</v>
      </c>
      <c r="P19" s="2971">
        <v>51443.33</v>
      </c>
      <c r="Q19" s="2970" t="s">
        <v>3136</v>
      </c>
      <c r="R19" s="2970" t="s">
        <v>3161</v>
      </c>
      <c r="S19" s="2970" t="s">
        <v>3140</v>
      </c>
      <c r="T19" s="3047" t="s">
        <v>3143</v>
      </c>
      <c r="U19" s="2970"/>
      <c r="V19" s="3057">
        <f t="shared" si="1"/>
        <v>57517.7</v>
      </c>
      <c r="W19" s="3057">
        <f t="shared" si="2"/>
        <v>22371.46</v>
      </c>
      <c r="X19" s="2971"/>
      <c r="Y19" s="2971">
        <f>'建设单位-地块-组团-楼栋面积明细表'!F251</f>
        <v>22371.46</v>
      </c>
      <c r="Z19" s="2971"/>
      <c r="AA19" s="2971"/>
      <c r="AB19" s="2971"/>
      <c r="AC19" s="2971">
        <f>'建设单位-地块-组团-楼栋面积明细表'!I251</f>
        <v>35146.239999999998</v>
      </c>
    </row>
    <row r="20" spans="2:31" ht="36" customHeight="1" thickBot="1">
      <c r="B20" s="2968" t="s">
        <v>3462</v>
      </c>
      <c r="C20" s="2968"/>
      <c r="D20" s="2968"/>
      <c r="E20" s="2968"/>
      <c r="F20" s="2968"/>
      <c r="G20" s="2968"/>
      <c r="H20" s="2968"/>
      <c r="I20" s="2968"/>
      <c r="J20" s="3053">
        <f>SUM(J5:J19)</f>
        <v>684893.01</v>
      </c>
      <c r="K20" s="2968"/>
      <c r="L20" s="3048"/>
      <c r="M20" s="2968"/>
      <c r="N20" s="2969">
        <f>SUM(N5:N19)</f>
        <v>608520326</v>
      </c>
      <c r="O20" s="2969"/>
      <c r="P20" s="2969">
        <f>SUM(P5:P19)</f>
        <v>753381.57</v>
      </c>
      <c r="Q20" s="2968">
        <f>W20/J20</f>
        <v>1.0175849816309261</v>
      </c>
      <c r="R20" s="2968"/>
      <c r="S20" s="2968"/>
      <c r="T20" s="3048"/>
      <c r="U20" s="2968"/>
      <c r="V20" s="2969">
        <f>SUM(V5:V19)</f>
        <v>1270481.6909999999</v>
      </c>
      <c r="W20" s="2969">
        <f t="shared" ref="W20:AC20" si="5">SUM(W5:W19)</f>
        <v>696936.84099999978</v>
      </c>
      <c r="X20" s="2969">
        <f t="shared" si="5"/>
        <v>191863.10499999998</v>
      </c>
      <c r="Y20" s="2969">
        <f t="shared" si="5"/>
        <v>471674.93600000005</v>
      </c>
      <c r="Z20" s="2969">
        <f t="shared" si="5"/>
        <v>0</v>
      </c>
      <c r="AA20" s="2969">
        <f t="shared" si="5"/>
        <v>15657.74</v>
      </c>
      <c r="AB20" s="2969">
        <f t="shared" si="5"/>
        <v>17741.060000000001</v>
      </c>
      <c r="AC20" s="2969">
        <f t="shared" si="5"/>
        <v>573544.85000000009</v>
      </c>
      <c r="AD20" s="2963">
        <f>W20/J20</f>
        <v>1.0175849816309261</v>
      </c>
    </row>
    <row r="21" spans="2:31" ht="36" customHeight="1">
      <c r="B21" s="2965">
        <v>13</v>
      </c>
      <c r="C21" s="3011" t="s">
        <v>3153</v>
      </c>
      <c r="D21" s="2965" t="s">
        <v>4197</v>
      </c>
      <c r="E21" s="2965" t="s">
        <v>3081</v>
      </c>
      <c r="F21" s="2965" t="s">
        <v>3082</v>
      </c>
      <c r="G21" s="2965" t="s">
        <v>3083</v>
      </c>
      <c r="H21" s="2965" t="s">
        <v>3088</v>
      </c>
      <c r="I21" s="2965" t="s">
        <v>3084</v>
      </c>
      <c r="J21" s="3051">
        <v>29491</v>
      </c>
      <c r="K21" s="2967">
        <v>55668</v>
      </c>
      <c r="L21" s="3046"/>
      <c r="M21" s="2965" t="s">
        <v>3147</v>
      </c>
      <c r="N21" s="2966">
        <v>10847648</v>
      </c>
      <c r="O21" s="2993">
        <f>N21/P21</f>
        <v>367.80415691859088</v>
      </c>
      <c r="P21" s="2966">
        <v>29493</v>
      </c>
      <c r="Q21" s="2965" t="s">
        <v>3159</v>
      </c>
      <c r="R21" s="2965" t="s">
        <v>3161</v>
      </c>
      <c r="S21" s="2965" t="s">
        <v>3140</v>
      </c>
      <c r="T21" s="3046" t="s">
        <v>3088</v>
      </c>
      <c r="U21" s="3010"/>
      <c r="V21" s="2964">
        <f t="shared" si="1"/>
        <v>33653.53</v>
      </c>
      <c r="W21" s="2964">
        <f t="shared" si="2"/>
        <v>13322.339999999998</v>
      </c>
      <c r="AA21" s="2964">
        <f>'建设单位-地块-组团-楼栋面积明细表'!G123</f>
        <v>13322.339999999998</v>
      </c>
      <c r="AC21" s="2964">
        <f>'建设单位-地块-组团-楼栋面积明细表'!I123</f>
        <v>20331.189999999999</v>
      </c>
    </row>
    <row r="22" spans="2:31" ht="36" customHeight="1">
      <c r="B22" s="2970">
        <v>14</v>
      </c>
      <c r="C22" s="2970" t="s">
        <v>4194</v>
      </c>
      <c r="D22" s="2970" t="s">
        <v>4203</v>
      </c>
      <c r="E22" s="2970" t="s">
        <v>3085</v>
      </c>
      <c r="F22" s="2970" t="s">
        <v>3086</v>
      </c>
      <c r="G22" s="2970" t="s">
        <v>3087</v>
      </c>
      <c r="H22" s="2970" t="s">
        <v>3089</v>
      </c>
      <c r="I22" s="2970" t="s">
        <v>3090</v>
      </c>
      <c r="J22" s="3052">
        <v>40400</v>
      </c>
      <c r="K22" s="2970" t="s">
        <v>3091</v>
      </c>
      <c r="L22" s="3047" t="s">
        <v>3065</v>
      </c>
      <c r="M22" s="2970" t="s">
        <v>3162</v>
      </c>
      <c r="N22" s="2971">
        <v>12120000</v>
      </c>
      <c r="O22" s="2994">
        <f>N22/P22</f>
        <v>300</v>
      </c>
      <c r="P22" s="2971">
        <v>40400</v>
      </c>
      <c r="Q22" s="2970" t="s">
        <v>3159</v>
      </c>
      <c r="R22" s="2970" t="s">
        <v>3161</v>
      </c>
      <c r="S22" s="2970" t="s">
        <v>3140</v>
      </c>
      <c r="T22" s="3047" t="s">
        <v>3088</v>
      </c>
      <c r="U22" s="2970"/>
      <c r="V22" s="3057">
        <f t="shared" ref="V22:V26" si="6">W22+AC22</f>
        <v>120906.51000000001</v>
      </c>
      <c r="W22" s="3057">
        <f t="shared" ref="W22:W26" si="7">SUM(X22:AB22)</f>
        <v>83275.02</v>
      </c>
      <c r="X22" s="2971"/>
      <c r="Y22" s="2971"/>
      <c r="Z22" s="2971">
        <f>'建设单位-地块-组团-楼栋面积明细表'!F44</f>
        <v>63040.880000000005</v>
      </c>
      <c r="AA22" s="2971">
        <f>'建设单位-地块-组团-楼栋面积明细表'!G44</f>
        <v>19351.339999999997</v>
      </c>
      <c r="AB22" s="2971">
        <f>'建设单位-地块-组团-楼栋面积明细表'!H44</f>
        <v>882.80000000000007</v>
      </c>
      <c r="AC22" s="2971">
        <f>'建设单位-地块-组团-楼栋面积明细表'!I44</f>
        <v>37631.49</v>
      </c>
    </row>
    <row r="23" spans="2:31" s="3104" customFormat="1" ht="36" customHeight="1">
      <c r="B23" s="3105">
        <v>15</v>
      </c>
      <c r="C23" s="3105" t="s">
        <v>3164</v>
      </c>
      <c r="D23" s="3105" t="s">
        <v>4198</v>
      </c>
      <c r="E23" s="3105" t="s">
        <v>3098</v>
      </c>
      <c r="F23" s="3105" t="s">
        <v>3086</v>
      </c>
      <c r="G23" s="3105" t="s">
        <v>3099</v>
      </c>
      <c r="H23" s="3105" t="s">
        <v>3100</v>
      </c>
      <c r="I23" s="3105" t="s">
        <v>3090</v>
      </c>
      <c r="J23" s="3051">
        <v>12533</v>
      </c>
      <c r="K23" s="3105" t="s">
        <v>3101</v>
      </c>
      <c r="L23" s="3046" t="s">
        <v>3065</v>
      </c>
      <c r="M23" s="3105" t="s">
        <v>3163</v>
      </c>
      <c r="N23" s="2966">
        <v>7320720</v>
      </c>
      <c r="O23" s="2993">
        <f>N23/P23</f>
        <v>584.1155349876326</v>
      </c>
      <c r="P23" s="2966">
        <v>12533</v>
      </c>
      <c r="Q23" s="3105" t="s">
        <v>3159</v>
      </c>
      <c r="R23" s="3105" t="s">
        <v>3161</v>
      </c>
      <c r="S23" s="3105" t="s">
        <v>3140</v>
      </c>
      <c r="T23" s="3046" t="s">
        <v>3088</v>
      </c>
      <c r="U23" s="3105" t="s">
        <v>4014</v>
      </c>
      <c r="V23" s="2964">
        <f t="shared" si="6"/>
        <v>11029.4</v>
      </c>
      <c r="W23" s="2964">
        <f t="shared" si="7"/>
        <v>5535.98</v>
      </c>
      <c r="X23" s="2964"/>
      <c r="Y23" s="2964"/>
      <c r="Z23" s="2964"/>
      <c r="AA23" s="2964">
        <f>工程规划!K85</f>
        <v>5535.98</v>
      </c>
      <c r="AB23" s="2964"/>
      <c r="AC23" s="2964">
        <f>工程规划!M85</f>
        <v>5493.42</v>
      </c>
    </row>
    <row r="24" spans="2:31" s="3104" customFormat="1" ht="36" customHeight="1">
      <c r="B24" s="2970">
        <v>16</v>
      </c>
      <c r="C24" s="2970" t="s">
        <v>3154</v>
      </c>
      <c r="D24" s="2970" t="s">
        <v>4270</v>
      </c>
      <c r="E24" s="2970" t="s">
        <v>3102</v>
      </c>
      <c r="F24" s="2970" t="s">
        <v>3086</v>
      </c>
      <c r="G24" s="2970" t="s">
        <v>3103</v>
      </c>
      <c r="H24" s="2970" t="s">
        <v>3088</v>
      </c>
      <c r="I24" s="2970" t="s">
        <v>3104</v>
      </c>
      <c r="J24" s="3052">
        <v>63133</v>
      </c>
      <c r="K24" s="2970">
        <v>55635</v>
      </c>
      <c r="L24" s="3047"/>
      <c r="M24" s="2970" t="s">
        <v>3165</v>
      </c>
      <c r="N24" s="2971">
        <v>26932680</v>
      </c>
      <c r="O24" s="2994">
        <f>N24/P24</f>
        <v>426.60225238781618</v>
      </c>
      <c r="P24" s="2971">
        <v>63133</v>
      </c>
      <c r="Q24" s="2970" t="s">
        <v>3159</v>
      </c>
      <c r="R24" s="2970" t="s">
        <v>3161</v>
      </c>
      <c r="S24" s="2970" t="s">
        <v>3140</v>
      </c>
      <c r="T24" s="3047" t="s">
        <v>3088</v>
      </c>
      <c r="U24" s="2970" t="s">
        <v>4014</v>
      </c>
      <c r="V24" s="3057">
        <f t="shared" si="6"/>
        <v>45744</v>
      </c>
      <c r="W24" s="3057">
        <f t="shared" si="7"/>
        <v>31651.35</v>
      </c>
      <c r="X24" s="2971"/>
      <c r="Y24" s="2971"/>
      <c r="Z24" s="2971"/>
      <c r="AA24" s="2971">
        <f>工程规划!K10</f>
        <v>29910.609999999997</v>
      </c>
      <c r="AB24" s="2971">
        <f>工程规划!M10-工程规划!M9</f>
        <v>1740.7399999999998</v>
      </c>
      <c r="AC24" s="2971">
        <f>工程规划!M9</f>
        <v>14092.65</v>
      </c>
    </row>
    <row r="25" spans="2:31" s="3104" customFormat="1" ht="36" customHeight="1">
      <c r="B25" s="2970"/>
      <c r="C25" s="2970"/>
      <c r="D25" s="2970" t="s">
        <v>4271</v>
      </c>
      <c r="E25" s="2970"/>
      <c r="F25" s="2970"/>
      <c r="G25" s="2970"/>
      <c r="H25" s="2970"/>
      <c r="I25" s="2970"/>
      <c r="J25" s="3052"/>
      <c r="K25" s="2970"/>
      <c r="L25" s="3047"/>
      <c r="M25" s="2970"/>
      <c r="N25" s="2971"/>
      <c r="O25" s="2994"/>
      <c r="P25" s="2971"/>
      <c r="Q25" s="2970"/>
      <c r="R25" s="2970"/>
      <c r="S25" s="2970"/>
      <c r="T25" s="3047"/>
      <c r="U25" s="2970"/>
      <c r="V25" s="3057">
        <f t="shared" ref="V25" si="8">W25+AC25</f>
        <v>34502.050000000003</v>
      </c>
      <c r="W25" s="3057">
        <f t="shared" ref="W25" si="9">SUM(X25:AB25)</f>
        <v>14007.489999999998</v>
      </c>
      <c r="X25" s="3074"/>
      <c r="Y25" s="3074"/>
      <c r="Z25" s="3074"/>
      <c r="AA25" s="3074">
        <f>SUM('建设单位-地块-组团-楼栋面积明细表'!G134:G148)</f>
        <v>14007.489999999998</v>
      </c>
      <c r="AB25" s="3074"/>
      <c r="AC25" s="3074">
        <f>'建设单位-地块-组团-楼栋面积明细表'!I134</f>
        <v>20494.560000000001</v>
      </c>
    </row>
    <row r="26" spans="2:31" s="3104" customFormat="1" ht="36" customHeight="1">
      <c r="B26" s="3105">
        <v>17</v>
      </c>
      <c r="C26" s="3105" t="s">
        <v>4199</v>
      </c>
      <c r="D26" s="3105" t="s">
        <v>4200</v>
      </c>
      <c r="E26" s="3105" t="s">
        <v>3093</v>
      </c>
      <c r="F26" s="3105" t="s">
        <v>3086</v>
      </c>
      <c r="G26" s="3105" t="s">
        <v>3094</v>
      </c>
      <c r="H26" s="3105" t="s">
        <v>3095</v>
      </c>
      <c r="I26" s="3105" t="s">
        <v>3096</v>
      </c>
      <c r="J26" s="3051">
        <v>67200</v>
      </c>
      <c r="K26" s="3105" t="s">
        <v>3097</v>
      </c>
      <c r="L26" s="3046" t="s">
        <v>3065</v>
      </c>
      <c r="M26" s="3105" t="s">
        <v>3459</v>
      </c>
      <c r="N26" s="2966">
        <v>15120000</v>
      </c>
      <c r="O26" s="2993">
        <f>N26/P26</f>
        <v>3214.2857142857142</v>
      </c>
      <c r="P26" s="2966">
        <v>4704</v>
      </c>
      <c r="Q26" s="3105" t="s">
        <v>3460</v>
      </c>
      <c r="R26" s="3105" t="s">
        <v>3457</v>
      </c>
      <c r="S26" s="3105" t="s">
        <v>3458</v>
      </c>
      <c r="T26" s="3046" t="s">
        <v>3088</v>
      </c>
      <c r="U26" s="3105" t="s">
        <v>4014</v>
      </c>
      <c r="V26" s="2964">
        <f t="shared" si="6"/>
        <v>4703.82</v>
      </c>
      <c r="W26" s="2964">
        <f t="shared" si="7"/>
        <v>4703.82</v>
      </c>
      <c r="X26" s="2964"/>
      <c r="Y26" s="2964"/>
      <c r="Z26" s="2964"/>
      <c r="AA26" s="2964">
        <f>工程规划!K65</f>
        <v>4703.82</v>
      </c>
      <c r="AB26" s="2964"/>
      <c r="AC26" s="2964"/>
      <c r="AD26" s="3139" t="s">
        <v>4281</v>
      </c>
    </row>
    <row r="27" spans="2:31" ht="36" customHeight="1" thickBot="1">
      <c r="B27" s="2968" t="s">
        <v>3462</v>
      </c>
      <c r="C27" s="2968"/>
      <c r="D27" s="2968"/>
      <c r="E27" s="2968"/>
      <c r="F27" s="2968"/>
      <c r="G27" s="2968"/>
      <c r="H27" s="2968"/>
      <c r="I27" s="2968"/>
      <c r="J27" s="3053">
        <f>SUM(J21:J26)</f>
        <v>212757</v>
      </c>
      <c r="K27" s="2968"/>
      <c r="L27" s="3048"/>
      <c r="M27" s="2968"/>
      <c r="N27" s="2969">
        <f>SUM(N21:N26)</f>
        <v>72341048</v>
      </c>
      <c r="O27" s="2969"/>
      <c r="P27" s="2969">
        <f>SUM(P21:P26)</f>
        <v>150263</v>
      </c>
      <c r="Q27" s="2968"/>
      <c r="R27" s="2968"/>
      <c r="S27" s="2968"/>
      <c r="T27" s="3048"/>
      <c r="U27" s="2968"/>
      <c r="V27" s="2969">
        <f>SUM(V21:V26)</f>
        <v>250539.31</v>
      </c>
      <c r="W27" s="2969">
        <f t="shared" ref="W27:AC27" si="10">SUM(W21:W26)</f>
        <v>152496</v>
      </c>
      <c r="X27" s="2969">
        <f t="shared" si="10"/>
        <v>0</v>
      </c>
      <c r="Y27" s="2969">
        <f t="shared" si="10"/>
        <v>0</v>
      </c>
      <c r="Z27" s="2969">
        <f t="shared" si="10"/>
        <v>63040.880000000005</v>
      </c>
      <c r="AA27" s="2969">
        <f t="shared" si="10"/>
        <v>86831.579999999987</v>
      </c>
      <c r="AB27" s="2969">
        <f t="shared" si="10"/>
        <v>2623.54</v>
      </c>
      <c r="AC27" s="2969">
        <f t="shared" si="10"/>
        <v>98043.309999999983</v>
      </c>
      <c r="AE27" s="2963">
        <f>(W23+W24+W25)/(J23+J24)</f>
        <v>0.67658948536991514</v>
      </c>
    </row>
    <row r="28" spans="2:31" s="3104" customFormat="1" ht="36" customHeight="1">
      <c r="B28" s="2970">
        <v>18</v>
      </c>
      <c r="C28" s="2970" t="s">
        <v>3155</v>
      </c>
      <c r="D28" s="2970" t="s">
        <v>4202</v>
      </c>
      <c r="E28" s="2970" t="s">
        <v>3105</v>
      </c>
      <c r="F28" s="2970" t="s">
        <v>3086</v>
      </c>
      <c r="G28" s="2970" t="s">
        <v>3106</v>
      </c>
      <c r="H28" s="2970" t="s">
        <v>3107</v>
      </c>
      <c r="I28" s="2970" t="s">
        <v>3108</v>
      </c>
      <c r="J28" s="3052">
        <v>94167</v>
      </c>
      <c r="K28" s="2970" t="s">
        <v>3109</v>
      </c>
      <c r="L28" s="3047" t="s">
        <v>3065</v>
      </c>
      <c r="M28" s="2970" t="s">
        <v>3455</v>
      </c>
      <c r="N28" s="2971">
        <v>19549000</v>
      </c>
      <c r="O28" s="2994">
        <f>N28/P28</f>
        <v>1037.9963256767232</v>
      </c>
      <c r="P28" s="2971">
        <v>18833.400000000001</v>
      </c>
      <c r="Q28" s="2970" t="s">
        <v>3456</v>
      </c>
      <c r="R28" s="2970" t="s">
        <v>3457</v>
      </c>
      <c r="S28" s="2970" t="s">
        <v>3458</v>
      </c>
      <c r="T28" s="3047" t="s">
        <v>3088</v>
      </c>
      <c r="U28" s="2970" t="s">
        <v>4014</v>
      </c>
      <c r="V28" s="3057">
        <f t="shared" ref="V28" si="11">W28+AC28</f>
        <v>9562.92</v>
      </c>
      <c r="W28" s="3057">
        <f t="shared" ref="W28" si="12">SUM(X28:AB28)</f>
        <v>9562.92</v>
      </c>
      <c r="X28" s="2971"/>
      <c r="Y28" s="2971"/>
      <c r="Z28" s="2971"/>
      <c r="AA28" s="2971">
        <f>工程规划!K99</f>
        <v>9562.92</v>
      </c>
      <c r="AB28" s="2971"/>
      <c r="AC28" s="2971"/>
      <c r="AD28" s="3104" t="s">
        <v>4281</v>
      </c>
    </row>
    <row r="29" spans="2:31" s="3104" customFormat="1" ht="36" customHeight="1">
      <c r="B29" s="3105">
        <v>19</v>
      </c>
      <c r="C29" s="3105" t="s">
        <v>3156</v>
      </c>
      <c r="D29" s="3105" t="s">
        <v>4201</v>
      </c>
      <c r="E29" s="3105" t="s">
        <v>3110</v>
      </c>
      <c r="F29" s="3105" t="s">
        <v>3086</v>
      </c>
      <c r="G29" s="3105" t="s">
        <v>3111</v>
      </c>
      <c r="H29" s="3105" t="s">
        <v>3112</v>
      </c>
      <c r="I29" s="3105" t="s">
        <v>3108</v>
      </c>
      <c r="J29" s="3051">
        <v>63972</v>
      </c>
      <c r="K29" s="3105" t="s">
        <v>3113</v>
      </c>
      <c r="L29" s="3046" t="s">
        <v>3065</v>
      </c>
      <c r="M29" s="3105" t="s">
        <v>3461</v>
      </c>
      <c r="N29" s="2966">
        <v>17318400</v>
      </c>
      <c r="O29" s="2993">
        <f>N29/P29</f>
        <v>1353</v>
      </c>
      <c r="P29" s="2966">
        <v>12800</v>
      </c>
      <c r="Q29" s="3105" t="s">
        <v>3456</v>
      </c>
      <c r="R29" s="3105" t="s">
        <v>3457</v>
      </c>
      <c r="S29" s="3105" t="s">
        <v>3458</v>
      </c>
      <c r="T29" s="3046" t="s">
        <v>3088</v>
      </c>
      <c r="U29" s="3105" t="s">
        <v>4014</v>
      </c>
      <c r="V29" s="2964">
        <f t="shared" ref="V29" si="13">W29+AC29</f>
        <v>22190.939999999995</v>
      </c>
      <c r="W29" s="2964">
        <f t="shared" ref="W29" si="14">SUM(X29:AB29)</f>
        <v>22190.939999999995</v>
      </c>
      <c r="X29" s="2964"/>
      <c r="Y29" s="2964"/>
      <c r="Z29" s="2964"/>
      <c r="AA29" s="2964">
        <f>工程规划!K112</f>
        <v>22190.939999999995</v>
      </c>
      <c r="AB29" s="2964"/>
      <c r="AC29" s="2964"/>
      <c r="AD29" s="3139" t="s">
        <v>4281</v>
      </c>
    </row>
    <row r="30" spans="2:31" ht="36" customHeight="1" thickBot="1">
      <c r="B30" s="2968" t="s">
        <v>3462</v>
      </c>
      <c r="C30" s="2968"/>
      <c r="D30" s="2968"/>
      <c r="E30" s="2968"/>
      <c r="F30" s="2968"/>
      <c r="G30" s="2968"/>
      <c r="H30" s="2968"/>
      <c r="I30" s="2968"/>
      <c r="J30" s="3053">
        <f>SUM(J28:J29)</f>
        <v>158139</v>
      </c>
      <c r="K30" s="2968"/>
      <c r="L30" s="3048"/>
      <c r="M30" s="2968"/>
      <c r="N30" s="2969">
        <f>SUM(N28:N29)</f>
        <v>36867400</v>
      </c>
      <c r="O30" s="2969"/>
      <c r="P30" s="2969">
        <f>SUM(P28:P29)</f>
        <v>31633.4</v>
      </c>
      <c r="Q30" s="2968"/>
      <c r="R30" s="2968"/>
      <c r="S30" s="2968"/>
      <c r="T30" s="3048"/>
      <c r="U30" s="2968"/>
      <c r="V30" s="2969">
        <f t="shared" ref="V30:AC30" si="15">SUM(V28:V29)</f>
        <v>31753.859999999993</v>
      </c>
      <c r="W30" s="2969">
        <f t="shared" si="15"/>
        <v>31753.859999999993</v>
      </c>
      <c r="X30" s="2969">
        <f t="shared" si="15"/>
        <v>0</v>
      </c>
      <c r="Y30" s="2969">
        <f t="shared" si="15"/>
        <v>0</v>
      </c>
      <c r="Z30" s="2969">
        <f t="shared" si="15"/>
        <v>0</v>
      </c>
      <c r="AA30" s="2969">
        <f t="shared" si="15"/>
        <v>31753.859999999993</v>
      </c>
      <c r="AB30" s="2969">
        <f t="shared" si="15"/>
        <v>0</v>
      </c>
      <c r="AC30" s="2969">
        <f t="shared" si="15"/>
        <v>0</v>
      </c>
    </row>
    <row r="31" spans="2:31" ht="36" customHeight="1" thickBot="1">
      <c r="B31" s="2968" t="s">
        <v>3127</v>
      </c>
      <c r="C31" s="2968"/>
      <c r="D31" s="2968"/>
      <c r="E31" s="2968"/>
      <c r="F31" s="2968"/>
      <c r="G31" s="2968"/>
      <c r="H31" s="2968"/>
      <c r="I31" s="2968"/>
      <c r="J31" s="3053">
        <f>J20+J27+J30</f>
        <v>1055789.01</v>
      </c>
      <c r="K31" s="2968"/>
      <c r="L31" s="3048"/>
      <c r="M31" s="2968"/>
      <c r="N31" s="2969">
        <f>N20+N27+N30</f>
        <v>717728774</v>
      </c>
      <c r="O31" s="2969"/>
      <c r="P31" s="2969">
        <f>P20+P27+P30</f>
        <v>935277.97</v>
      </c>
      <c r="Q31" s="2968"/>
      <c r="R31" s="2968"/>
      <c r="S31" s="2968"/>
      <c r="T31" s="3048"/>
      <c r="U31" s="2968"/>
      <c r="V31" s="2969">
        <f>V20+V27+V30</f>
        <v>1552774.861</v>
      </c>
      <c r="W31" s="2969">
        <f>W20+W27+W30</f>
        <v>881186.70099999977</v>
      </c>
      <c r="X31" s="2969">
        <f t="shared" ref="X31:AC31" si="16">X20+X27+X30</f>
        <v>191863.10499999998</v>
      </c>
      <c r="Y31" s="2969">
        <f t="shared" si="16"/>
        <v>471674.93600000005</v>
      </c>
      <c r="Z31" s="2969">
        <f t="shared" si="16"/>
        <v>63040.880000000005</v>
      </c>
      <c r="AA31" s="2969">
        <f t="shared" si="16"/>
        <v>134243.18</v>
      </c>
      <c r="AB31" s="2969">
        <f t="shared" si="16"/>
        <v>20364.600000000002</v>
      </c>
      <c r="AC31" s="2969">
        <f t="shared" si="16"/>
        <v>671588.16</v>
      </c>
    </row>
    <row r="32" spans="2:31" ht="36" customHeight="1">
      <c r="X32" s="2964">
        <v>3500</v>
      </c>
      <c r="Y32" s="2964">
        <v>2800</v>
      </c>
      <c r="Z32" s="2964">
        <v>3500</v>
      </c>
      <c r="AA32" s="2964">
        <v>3500</v>
      </c>
      <c r="AB32" s="2964">
        <f>Y32</f>
        <v>2800</v>
      </c>
      <c r="AC32" s="2964">
        <f>AB32</f>
        <v>2800</v>
      </c>
    </row>
    <row r="33" spans="11:29" ht="36" customHeight="1">
      <c r="N33" s="2964">
        <f>N20/W20</f>
        <v>873.13554141701661</v>
      </c>
      <c r="V33" s="3150">
        <f>SUM(X33:AC33)</f>
        <v>462017.26263000001</v>
      </c>
      <c r="X33" s="3150">
        <f>X31*X32/10000</f>
        <v>67152.086749999988</v>
      </c>
      <c r="Y33" s="3150">
        <f t="shared" ref="Y33:AC33" si="17">Y31*Y32/10000</f>
        <v>132068.98208000002</v>
      </c>
      <c r="Z33" s="3150">
        <f t="shared" si="17"/>
        <v>22064.308000000005</v>
      </c>
      <c r="AA33" s="3150">
        <f t="shared" si="17"/>
        <v>46985.112999999998</v>
      </c>
      <c r="AB33" s="3150">
        <f t="shared" si="17"/>
        <v>5702.0880000000006</v>
      </c>
      <c r="AC33" s="3150">
        <f t="shared" si="17"/>
        <v>188044.68479999999</v>
      </c>
    </row>
    <row r="34" spans="11:29" ht="36" customHeight="1">
      <c r="N34" s="2964">
        <f>N27/W27</f>
        <v>474.37997062218028</v>
      </c>
      <c r="AA34" s="2964">
        <f>10000*(AA31+Z31)/10000</f>
        <v>197284.06</v>
      </c>
    </row>
    <row r="35" spans="11:29" ht="36" customHeight="1">
      <c r="N35" s="2964">
        <f>N30/W30</f>
        <v>1161.0367999355042</v>
      </c>
    </row>
    <row r="36" spans="11:29" ht="36" customHeight="1">
      <c r="N36" s="2964" t="s">
        <v>4308</v>
      </c>
      <c r="O36" s="2964" t="s">
        <v>4309</v>
      </c>
      <c r="U36" s="3141" t="s">
        <v>4287</v>
      </c>
      <c r="V36" s="3141" t="s">
        <v>4288</v>
      </c>
      <c r="W36" s="3141" t="s">
        <v>4289</v>
      </c>
      <c r="X36" s="3141" t="s">
        <v>4290</v>
      </c>
      <c r="Y36" s="3141" t="s">
        <v>4291</v>
      </c>
      <c r="Z36" s="3141" t="s">
        <v>4292</v>
      </c>
      <c r="AA36" s="3141" t="s">
        <v>4293</v>
      </c>
    </row>
    <row r="37" spans="11:29" ht="36" customHeight="1">
      <c r="K37" s="2963" t="s">
        <v>4301</v>
      </c>
      <c r="L37" s="2963" t="s">
        <v>4302</v>
      </c>
      <c r="U37" s="3142" t="s">
        <v>4294</v>
      </c>
      <c r="V37">
        <v>17</v>
      </c>
      <c r="W37"/>
      <c r="X37">
        <v>4703.82</v>
      </c>
      <c r="Y37"/>
      <c r="Z37"/>
      <c r="AA37">
        <v>4703.82</v>
      </c>
    </row>
    <row r="38" spans="11:29" ht="36" customHeight="1">
      <c r="K38" s="2963" t="s">
        <v>4303</v>
      </c>
      <c r="L38" s="2963" t="s">
        <v>4304</v>
      </c>
      <c r="U38" s="3142" t="s">
        <v>1036</v>
      </c>
      <c r="V38">
        <v>9</v>
      </c>
      <c r="W38"/>
      <c r="X38">
        <v>5535.98</v>
      </c>
      <c r="Y38"/>
      <c r="Z38">
        <v>5493.42</v>
      </c>
      <c r="AA38">
        <v>11029.4</v>
      </c>
    </row>
    <row r="39" spans="11:29" ht="36" customHeight="1">
      <c r="K39" s="2963" t="s">
        <v>4305</v>
      </c>
      <c r="L39" s="2963" t="s">
        <v>4306</v>
      </c>
      <c r="U39" s="3142" t="s">
        <v>1037</v>
      </c>
      <c r="V39">
        <v>6</v>
      </c>
      <c r="W39"/>
      <c r="X39">
        <v>29910.609999999997</v>
      </c>
      <c r="Y39"/>
      <c r="Z39">
        <v>15833.39</v>
      </c>
      <c r="AA39">
        <v>45744</v>
      </c>
    </row>
    <row r="40" spans="11:29" ht="36" customHeight="1">
      <c r="K40" s="2963" t="s">
        <v>4307</v>
      </c>
      <c r="L40" s="3145" t="s">
        <v>4306</v>
      </c>
      <c r="U40" s="3142" t="s">
        <v>4295</v>
      </c>
      <c r="V40">
        <v>13</v>
      </c>
      <c r="W40"/>
      <c r="X40">
        <v>9562.92</v>
      </c>
      <c r="Y40"/>
      <c r="Z40"/>
      <c r="AA40">
        <v>9562.92</v>
      </c>
    </row>
    <row r="41" spans="11:29" ht="36" customHeight="1">
      <c r="M41" s="2963">
        <v>95192.572052999996</v>
      </c>
      <c r="N41" s="2964">
        <f>N31/10000</f>
        <v>71772.877399999998</v>
      </c>
      <c r="O41" s="2964">
        <f>M41-N41</f>
        <v>23419.694652999999</v>
      </c>
      <c r="U41" s="3142" t="s">
        <v>4296</v>
      </c>
      <c r="V41">
        <v>12</v>
      </c>
      <c r="W41"/>
      <c r="X41">
        <v>22190.939999999995</v>
      </c>
      <c r="Y41"/>
      <c r="Z41"/>
      <c r="AA41">
        <v>22190.939999999995</v>
      </c>
    </row>
    <row r="42" spans="11:29" ht="36" customHeight="1">
      <c r="K42" s="2963" t="s">
        <v>4310</v>
      </c>
      <c r="M42" s="3147">
        <f>M41/$W$31*10000</f>
        <v>1080.2769940237674</v>
      </c>
      <c r="N42" s="3147">
        <f t="shared" ref="N42:O42" si="18">N41/$W$31*10000</f>
        <v>814.50250348251689</v>
      </c>
      <c r="O42" s="3147">
        <f t="shared" si="18"/>
        <v>265.77449054125032</v>
      </c>
      <c r="U42" s="3142" t="s">
        <v>4297</v>
      </c>
      <c r="V42">
        <v>20</v>
      </c>
      <c r="W42">
        <v>43423.260000000009</v>
      </c>
      <c r="X42">
        <v>60.25</v>
      </c>
      <c r="Y42">
        <v>217.35999999999999</v>
      </c>
      <c r="Z42">
        <v>92512.24</v>
      </c>
      <c r="AA42">
        <v>136213.11000000004</v>
      </c>
    </row>
    <row r="43" spans="11:29" ht="36" customHeight="1">
      <c r="U43" s="3142" t="s">
        <v>4298</v>
      </c>
      <c r="V43">
        <v>8</v>
      </c>
      <c r="W43">
        <v>50487.729999999996</v>
      </c>
      <c r="X43">
        <v>6344.63</v>
      </c>
      <c r="Y43">
        <v>3474.2599999999998</v>
      </c>
      <c r="Z43">
        <v>3571.51</v>
      </c>
      <c r="AA43">
        <v>63878.13</v>
      </c>
    </row>
    <row r="44" spans="11:29" ht="36" customHeight="1">
      <c r="K44" s="2963" t="s">
        <v>4312</v>
      </c>
      <c r="M44" s="2963">
        <v>241533589.13</v>
      </c>
      <c r="U44" s="3142" t="s">
        <v>4299</v>
      </c>
      <c r="V44">
        <v>16</v>
      </c>
      <c r="W44">
        <v>58863.38</v>
      </c>
      <c r="X44">
        <v>1421.63</v>
      </c>
      <c r="Y44">
        <v>4513.53</v>
      </c>
      <c r="Z44">
        <v>11718.68</v>
      </c>
      <c r="AA44">
        <v>76517.22</v>
      </c>
    </row>
    <row r="45" spans="11:29" ht="36" customHeight="1">
      <c r="K45" s="3145" t="s">
        <v>4310</v>
      </c>
      <c r="M45" s="2963">
        <f>M44/(W9+W11+W13+W23+W24+W26+W28+W29)</f>
        <v>996.21593345196607</v>
      </c>
      <c r="U45" s="3142" t="s">
        <v>4300</v>
      </c>
      <c r="V45"/>
      <c r="W45">
        <v>152774.37</v>
      </c>
      <c r="X45">
        <v>79730.78</v>
      </c>
      <c r="Y45">
        <v>8205.15</v>
      </c>
      <c r="Z45">
        <v>129129.24</v>
      </c>
      <c r="AA45">
        <v>369839.54000000004</v>
      </c>
    </row>
  </sheetData>
  <mergeCells count="1">
    <mergeCell ref="V2:AC2"/>
  </mergeCells>
  <phoneticPr fontId="1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478"/>
  <sheetViews>
    <sheetView topLeftCell="A169" zoomScale="107" zoomScaleNormal="110" workbookViewId="0">
      <selection activeCell="I195" activeCellId="1" sqref="E197:H197 I195:I197"/>
    </sheetView>
  </sheetViews>
  <sheetFormatPr baseColWidth="10" defaultColWidth="11" defaultRowHeight="14"/>
  <cols>
    <col min="9" max="9" width="27.33203125" customWidth="1"/>
  </cols>
  <sheetData>
    <row r="1" spans="1:13">
      <c r="A1" s="3232" t="s">
        <v>3522</v>
      </c>
      <c r="B1" s="3234" t="s">
        <v>3523</v>
      </c>
      <c r="C1" s="3234"/>
      <c r="D1" s="3234"/>
      <c r="E1" s="3234" t="s">
        <v>3524</v>
      </c>
      <c r="F1" s="3234"/>
      <c r="G1" s="3234"/>
      <c r="H1" s="3234"/>
      <c r="I1" s="3012" t="s">
        <v>3525</v>
      </c>
      <c r="J1" s="3234" t="s">
        <v>37</v>
      </c>
    </row>
    <row r="2" spans="1:13">
      <c r="A2" s="3233"/>
      <c r="B2" s="3235" t="s">
        <v>3526</v>
      </c>
      <c r="C2" s="3235"/>
      <c r="D2" s="3235"/>
      <c r="E2" s="3235" t="s">
        <v>3527</v>
      </c>
      <c r="F2" s="3235"/>
      <c r="G2" s="3235"/>
      <c r="H2" s="3235" t="s">
        <v>3528</v>
      </c>
      <c r="I2" s="3235"/>
      <c r="J2" s="3234"/>
    </row>
    <row r="3" spans="1:13">
      <c r="A3" s="3233"/>
      <c r="B3" s="3236" t="s">
        <v>3529</v>
      </c>
      <c r="C3" s="3236"/>
      <c r="D3" s="3236"/>
      <c r="E3" s="3013" t="s">
        <v>3530</v>
      </c>
      <c r="F3" s="3014" t="s">
        <v>3531</v>
      </c>
      <c r="G3" s="3013" t="s">
        <v>3532</v>
      </c>
      <c r="H3" s="3013" t="s">
        <v>3533</v>
      </c>
      <c r="I3" s="3013" t="s">
        <v>3534</v>
      </c>
      <c r="J3" s="3234"/>
    </row>
    <row r="4" spans="1:13">
      <c r="A4" s="3233"/>
      <c r="B4" s="3237" t="s">
        <v>3535</v>
      </c>
      <c r="C4" s="3238" t="s">
        <v>3536</v>
      </c>
      <c r="D4" s="3110" t="s">
        <v>3537</v>
      </c>
      <c r="E4" s="3109"/>
      <c r="F4" s="3109"/>
      <c r="G4" s="3017">
        <v>516.9</v>
      </c>
      <c r="H4" s="3109"/>
      <c r="I4" s="3241">
        <v>4385.4399999999996</v>
      </c>
      <c r="J4" s="3109">
        <f>SUM(E4:H4)</f>
        <v>516.9</v>
      </c>
    </row>
    <row r="5" spans="1:13">
      <c r="A5" s="3233"/>
      <c r="B5" s="3231"/>
      <c r="C5" s="3239"/>
      <c r="D5" s="3110" t="s">
        <v>3538</v>
      </c>
      <c r="E5" s="3109"/>
      <c r="F5" s="3109"/>
      <c r="G5" s="3018">
        <v>180.45</v>
      </c>
      <c r="H5" s="3109"/>
      <c r="I5" s="3242"/>
      <c r="J5" s="3109">
        <f t="shared" ref="J5:J10" si="0">SUM(E5:H5)</f>
        <v>180.45</v>
      </c>
      <c r="L5" s="2962" t="s">
        <v>4018</v>
      </c>
      <c r="M5">
        <f>E195+E221+E383+E410</f>
        <v>222316.05</v>
      </c>
    </row>
    <row r="6" spans="1:13">
      <c r="A6" s="3233"/>
      <c r="B6" s="3231"/>
      <c r="C6" s="3239"/>
      <c r="D6" s="3110" t="s">
        <v>3539</v>
      </c>
      <c r="E6" s="3109"/>
      <c r="F6" s="3109"/>
      <c r="G6" s="3018">
        <v>492.65</v>
      </c>
      <c r="H6" s="3109"/>
      <c r="I6" s="3242"/>
      <c r="J6" s="3109">
        <f t="shared" si="0"/>
        <v>492.65</v>
      </c>
      <c r="L6" s="2962" t="s">
        <v>4019</v>
      </c>
      <c r="M6">
        <f>F176+F195+F221+F251+F276+F304+F330+F352+F383+F410+F438+F468</f>
        <v>471197.576</v>
      </c>
    </row>
    <row r="7" spans="1:13">
      <c r="A7" s="3233"/>
      <c r="B7" s="3231"/>
      <c r="C7" s="3239"/>
      <c r="D7" s="3110" t="s">
        <v>3540</v>
      </c>
      <c r="E7" s="3109"/>
      <c r="F7" s="3109"/>
      <c r="G7" s="3018">
        <v>375.5</v>
      </c>
      <c r="H7" s="3109"/>
      <c r="I7" s="3242"/>
      <c r="J7" s="3109">
        <f t="shared" si="0"/>
        <v>375.5</v>
      </c>
      <c r="L7" s="2962" t="s">
        <v>3957</v>
      </c>
    </row>
    <row r="8" spans="1:13">
      <c r="A8" s="3233"/>
      <c r="B8" s="3231"/>
      <c r="C8" s="3239"/>
      <c r="D8" s="3110" t="s">
        <v>3541</v>
      </c>
      <c r="E8" s="3109"/>
      <c r="F8" s="3109"/>
      <c r="G8" s="3018">
        <v>957.28</v>
      </c>
      <c r="H8" s="3109"/>
      <c r="I8" s="3242"/>
      <c r="J8" s="3109">
        <f t="shared" si="0"/>
        <v>957.28</v>
      </c>
      <c r="L8" s="2962" t="s">
        <v>3104</v>
      </c>
    </row>
    <row r="9" spans="1:13">
      <c r="A9" s="3233"/>
      <c r="B9" s="3231"/>
      <c r="C9" s="3239"/>
      <c r="D9" s="3110" t="s">
        <v>3542</v>
      </c>
      <c r="E9" s="3109"/>
      <c r="F9" s="3109"/>
      <c r="G9" s="3018">
        <v>717.36</v>
      </c>
      <c r="H9" s="3109"/>
      <c r="I9" s="3242"/>
      <c r="J9" s="3109">
        <f t="shared" si="0"/>
        <v>717.36</v>
      </c>
      <c r="L9" s="2962" t="s">
        <v>3958</v>
      </c>
    </row>
    <row r="10" spans="1:13">
      <c r="A10" s="3233"/>
      <c r="B10" s="3231"/>
      <c r="C10" s="3239"/>
      <c r="D10" s="3110" t="s">
        <v>3543</v>
      </c>
      <c r="E10" s="3109"/>
      <c r="F10" s="3109"/>
      <c r="G10" s="3018">
        <v>1535.06</v>
      </c>
      <c r="H10" s="3109"/>
      <c r="I10" s="3242"/>
      <c r="J10" s="3109">
        <f t="shared" si="0"/>
        <v>1535.06</v>
      </c>
      <c r="L10" s="2962" t="s">
        <v>3961</v>
      </c>
    </row>
    <row r="11" spans="1:13">
      <c r="A11" s="3233"/>
      <c r="B11" s="3231"/>
      <c r="C11" s="3231" t="s">
        <v>40</v>
      </c>
      <c r="D11" s="3231"/>
      <c r="E11" s="3106">
        <f>SUM(E4:E10)</f>
        <v>0</v>
      </c>
      <c r="F11" s="3106">
        <f>SUM(F4:F10)</f>
        <v>0</v>
      </c>
      <c r="G11" s="3106">
        <f>SUM(G4:G10)</f>
        <v>4775.2</v>
      </c>
      <c r="H11" s="3106">
        <f>SUM(H4:H10)</f>
        <v>0</v>
      </c>
      <c r="I11" s="3228">
        <f>SUM(I4:I10)</f>
        <v>4385.4399999999996</v>
      </c>
      <c r="J11" s="3228">
        <f>E13+I11</f>
        <v>9160.64</v>
      </c>
      <c r="L11" s="2962" t="s">
        <v>3127</v>
      </c>
    </row>
    <row r="12" spans="1:13">
      <c r="A12" s="3233"/>
      <c r="B12" s="3231"/>
      <c r="C12" s="3231"/>
      <c r="D12" s="3231"/>
      <c r="E12" s="3231">
        <f>SUM(E11:G11)</f>
        <v>4775.2</v>
      </c>
      <c r="F12" s="3231"/>
      <c r="G12" s="3231"/>
      <c r="H12" s="3106"/>
      <c r="I12" s="3229"/>
      <c r="J12" s="3229"/>
    </row>
    <row r="13" spans="1:13">
      <c r="A13" s="3233"/>
      <c r="B13" s="3231"/>
      <c r="C13" s="3231"/>
      <c r="D13" s="3231"/>
      <c r="E13" s="3231">
        <f>SUM(E12:H12)</f>
        <v>4775.2</v>
      </c>
      <c r="F13" s="3231"/>
      <c r="G13" s="3231"/>
      <c r="H13" s="3231"/>
      <c r="I13" s="3230"/>
      <c r="J13" s="3230"/>
    </row>
    <row r="14" spans="1:13">
      <c r="A14" s="3233"/>
      <c r="B14" s="3236" t="s">
        <v>3529</v>
      </c>
      <c r="C14" s="3236"/>
      <c r="D14" s="3236"/>
      <c r="E14" s="3013" t="s">
        <v>3530</v>
      </c>
      <c r="F14" s="3014" t="s">
        <v>3531</v>
      </c>
      <c r="G14" s="3013" t="s">
        <v>3532</v>
      </c>
      <c r="H14" s="3013" t="s">
        <v>3533</v>
      </c>
      <c r="I14" s="3013" t="s">
        <v>3534</v>
      </c>
      <c r="J14" s="3020" t="s">
        <v>37</v>
      </c>
    </row>
    <row r="15" spans="1:13">
      <c r="A15" s="3233"/>
      <c r="B15" s="3237" t="s">
        <v>3544</v>
      </c>
      <c r="C15" s="3238" t="s">
        <v>3545</v>
      </c>
      <c r="D15" s="3015" t="s">
        <v>3546</v>
      </c>
      <c r="E15" s="3016"/>
      <c r="F15" s="3016">
        <v>23710.7</v>
      </c>
      <c r="G15" s="3016">
        <v>268.37</v>
      </c>
      <c r="H15" s="3016">
        <v>707.84</v>
      </c>
      <c r="I15" s="3241">
        <v>37631.49</v>
      </c>
      <c r="J15" s="3016">
        <f t="shared" ref="J15:J43" si="1">SUM(E15:H15)</f>
        <v>24686.91</v>
      </c>
    </row>
    <row r="16" spans="1:13">
      <c r="A16" s="3233"/>
      <c r="B16" s="3231"/>
      <c r="C16" s="3239"/>
      <c r="D16" s="3015" t="s">
        <v>3547</v>
      </c>
      <c r="E16" s="3016"/>
      <c r="F16" s="3016"/>
      <c r="G16" s="3016">
        <v>382.55</v>
      </c>
      <c r="H16" s="3016"/>
      <c r="I16" s="3242"/>
      <c r="J16" s="3016">
        <f t="shared" si="1"/>
        <v>382.55</v>
      </c>
    </row>
    <row r="17" spans="1:10">
      <c r="A17" s="3233"/>
      <c r="B17" s="3231"/>
      <c r="C17" s="3239"/>
      <c r="D17" s="3015" t="s">
        <v>3548</v>
      </c>
      <c r="E17" s="3016"/>
      <c r="F17" s="3016"/>
      <c r="G17" s="3021">
        <v>927.95</v>
      </c>
      <c r="H17" s="3016"/>
      <c r="I17" s="3242"/>
      <c r="J17" s="3016">
        <f t="shared" si="1"/>
        <v>927.95</v>
      </c>
    </row>
    <row r="18" spans="1:10">
      <c r="A18" s="3233"/>
      <c r="B18" s="3231"/>
      <c r="C18" s="3239"/>
      <c r="D18" s="3015" t="s">
        <v>3549</v>
      </c>
      <c r="E18" s="3016"/>
      <c r="F18" s="3016"/>
      <c r="G18" s="3021">
        <v>605.84</v>
      </c>
      <c r="H18" s="3016"/>
      <c r="I18" s="3242"/>
      <c r="J18" s="3016">
        <f t="shared" si="1"/>
        <v>605.84</v>
      </c>
    </row>
    <row r="19" spans="1:10">
      <c r="A19" s="3233"/>
      <c r="B19" s="3231"/>
      <c r="C19" s="3239"/>
      <c r="D19" s="3015" t="s">
        <v>3550</v>
      </c>
      <c r="E19" s="3016"/>
      <c r="F19" s="3016">
        <v>19665.09</v>
      </c>
      <c r="G19" s="3016">
        <v>1142.99</v>
      </c>
      <c r="H19" s="3016">
        <v>87.48</v>
      </c>
      <c r="I19" s="3242"/>
      <c r="J19" s="3016">
        <f t="shared" si="1"/>
        <v>20895.560000000001</v>
      </c>
    </row>
    <row r="20" spans="1:10">
      <c r="A20" s="3233"/>
      <c r="B20" s="3231"/>
      <c r="C20" s="3239"/>
      <c r="D20" s="3015" t="s">
        <v>3551</v>
      </c>
      <c r="E20" s="3016"/>
      <c r="F20" s="3016"/>
      <c r="G20" s="3016">
        <v>908.76</v>
      </c>
      <c r="H20" s="3016"/>
      <c r="I20" s="3242"/>
      <c r="J20" s="3016">
        <f t="shared" si="1"/>
        <v>908.76</v>
      </c>
    </row>
    <row r="21" spans="1:10">
      <c r="A21" s="3233"/>
      <c r="B21" s="3231"/>
      <c r="C21" s="3239"/>
      <c r="D21" s="3015" t="s">
        <v>3552</v>
      </c>
      <c r="E21" s="3016"/>
      <c r="F21" s="3016"/>
      <c r="G21" s="3016">
        <v>1211.68</v>
      </c>
      <c r="H21" s="3016"/>
      <c r="I21" s="3242"/>
      <c r="J21" s="3016">
        <f t="shared" si="1"/>
        <v>1211.68</v>
      </c>
    </row>
    <row r="22" spans="1:10">
      <c r="A22" s="3233"/>
      <c r="B22" s="3231"/>
      <c r="C22" s="3239"/>
      <c r="D22" s="3015" t="s">
        <v>3553</v>
      </c>
      <c r="E22" s="3016"/>
      <c r="F22" s="3016"/>
      <c r="G22" s="3016">
        <v>1124.9100000000001</v>
      </c>
      <c r="H22" s="3016"/>
      <c r="I22" s="3242"/>
      <c r="J22" s="3016">
        <f t="shared" si="1"/>
        <v>1124.9100000000001</v>
      </c>
    </row>
    <row r="23" spans="1:10">
      <c r="A23" s="3233"/>
      <c r="B23" s="3231"/>
      <c r="C23" s="3239"/>
      <c r="D23" s="3015" t="s">
        <v>3554</v>
      </c>
      <c r="E23" s="3016"/>
      <c r="F23" s="3016"/>
      <c r="G23" s="3016">
        <v>302.92</v>
      </c>
      <c r="H23" s="3016"/>
      <c r="I23" s="3242"/>
      <c r="J23" s="3016">
        <f t="shared" si="1"/>
        <v>302.92</v>
      </c>
    </row>
    <row r="24" spans="1:10">
      <c r="A24" s="3233"/>
      <c r="B24" s="3231"/>
      <c r="C24" s="3239"/>
      <c r="D24" s="3015" t="s">
        <v>3555</v>
      </c>
      <c r="E24" s="3016"/>
      <c r="F24" s="3016"/>
      <c r="G24" s="3016">
        <v>454.38</v>
      </c>
      <c r="H24" s="3016"/>
      <c r="I24" s="3242"/>
      <c r="J24" s="3016">
        <f t="shared" si="1"/>
        <v>454.38</v>
      </c>
    </row>
    <row r="25" spans="1:10">
      <c r="A25" s="3233"/>
      <c r="B25" s="3231"/>
      <c r="C25" s="3239"/>
      <c r="D25" s="3015" t="s">
        <v>3556</v>
      </c>
      <c r="E25" s="3016"/>
      <c r="F25" s="3016"/>
      <c r="G25" s="3016">
        <v>302.92</v>
      </c>
      <c r="H25" s="3016"/>
      <c r="I25" s="3242"/>
      <c r="J25" s="3016">
        <f t="shared" si="1"/>
        <v>302.92</v>
      </c>
    </row>
    <row r="26" spans="1:10">
      <c r="A26" s="3233"/>
      <c r="B26" s="3231"/>
      <c r="C26" s="3239"/>
      <c r="D26" s="3015" t="s">
        <v>3557</v>
      </c>
      <c r="E26" s="3016"/>
      <c r="F26" s="3016"/>
      <c r="G26" s="3016">
        <v>302.92</v>
      </c>
      <c r="H26" s="3016"/>
      <c r="I26" s="3242"/>
      <c r="J26" s="3016">
        <f t="shared" si="1"/>
        <v>302.92</v>
      </c>
    </row>
    <row r="27" spans="1:10">
      <c r="A27" s="3233"/>
      <c r="B27" s="3231"/>
      <c r="C27" s="3239"/>
      <c r="D27" s="3015" t="s">
        <v>3558</v>
      </c>
      <c r="E27" s="3016"/>
      <c r="F27" s="3016"/>
      <c r="G27" s="3016">
        <v>454.38</v>
      </c>
      <c r="H27" s="3016"/>
      <c r="I27" s="3242"/>
      <c r="J27" s="3016">
        <f t="shared" si="1"/>
        <v>454.38</v>
      </c>
    </row>
    <row r="28" spans="1:10">
      <c r="A28" s="3233"/>
      <c r="B28" s="3231"/>
      <c r="C28" s="3239"/>
      <c r="D28" s="3015" t="s">
        <v>3559</v>
      </c>
      <c r="E28" s="3016"/>
      <c r="F28" s="3016"/>
      <c r="G28" s="3016">
        <v>605.84</v>
      </c>
      <c r="H28" s="3016"/>
      <c r="I28" s="3242"/>
      <c r="J28" s="3016">
        <f t="shared" si="1"/>
        <v>605.84</v>
      </c>
    </row>
    <row r="29" spans="1:10">
      <c r="A29" s="3233"/>
      <c r="B29" s="3231"/>
      <c r="C29" s="3239"/>
      <c r="D29" s="3015" t="s">
        <v>3560</v>
      </c>
      <c r="E29" s="3016"/>
      <c r="F29" s="3016"/>
      <c r="G29" s="3016">
        <v>454.38</v>
      </c>
      <c r="H29" s="3016"/>
      <c r="I29" s="3242"/>
      <c r="J29" s="3016">
        <f t="shared" si="1"/>
        <v>454.38</v>
      </c>
    </row>
    <row r="30" spans="1:10">
      <c r="A30" s="3233"/>
      <c r="B30" s="3231"/>
      <c r="C30" s="3239"/>
      <c r="D30" s="3015" t="s">
        <v>3561</v>
      </c>
      <c r="E30" s="3016"/>
      <c r="F30" s="3016"/>
      <c r="G30" s="3016">
        <v>302.92</v>
      </c>
      <c r="H30" s="3016"/>
      <c r="I30" s="3242"/>
      <c r="J30" s="3016">
        <f t="shared" si="1"/>
        <v>302.92</v>
      </c>
    </row>
    <row r="31" spans="1:10">
      <c r="A31" s="3233"/>
      <c r="B31" s="3231"/>
      <c r="C31" s="3239"/>
      <c r="D31" s="3015" t="s">
        <v>3562</v>
      </c>
      <c r="E31" s="3016"/>
      <c r="F31" s="3016"/>
      <c r="G31" s="3016">
        <v>454.38</v>
      </c>
      <c r="H31" s="3016"/>
      <c r="I31" s="3242"/>
      <c r="J31" s="3016">
        <f t="shared" si="1"/>
        <v>454.38</v>
      </c>
    </row>
    <row r="32" spans="1:10">
      <c r="A32" s="3233"/>
      <c r="B32" s="3231"/>
      <c r="C32" s="3239"/>
      <c r="D32" s="3015" t="s">
        <v>3563</v>
      </c>
      <c r="E32" s="3016"/>
      <c r="F32" s="3016"/>
      <c r="G32" s="3016">
        <v>302.92</v>
      </c>
      <c r="H32" s="3016"/>
      <c r="I32" s="3242"/>
      <c r="J32" s="3016">
        <f t="shared" si="1"/>
        <v>302.92</v>
      </c>
    </row>
    <row r="33" spans="1:10">
      <c r="A33" s="3233"/>
      <c r="B33" s="3231"/>
      <c r="C33" s="3239"/>
      <c r="D33" s="3015" t="s">
        <v>3564</v>
      </c>
      <c r="E33" s="3016"/>
      <c r="F33" s="3016"/>
      <c r="G33" s="3016">
        <v>908.76</v>
      </c>
      <c r="H33" s="3016"/>
      <c r="I33" s="3242"/>
      <c r="J33" s="3016">
        <f t="shared" si="1"/>
        <v>908.76</v>
      </c>
    </row>
    <row r="34" spans="1:10">
      <c r="A34" s="3233"/>
      <c r="B34" s="3231"/>
      <c r="C34" s="3239"/>
      <c r="D34" s="3015" t="s">
        <v>3565</v>
      </c>
      <c r="E34" s="3016"/>
      <c r="F34" s="3016"/>
      <c r="G34" s="3016">
        <v>753.73</v>
      </c>
      <c r="H34" s="3016"/>
      <c r="I34" s="3242"/>
      <c r="J34" s="3016">
        <f t="shared" si="1"/>
        <v>753.73</v>
      </c>
    </row>
    <row r="35" spans="1:10">
      <c r="A35" s="3233"/>
      <c r="B35" s="3231"/>
      <c r="C35" s="3239"/>
      <c r="D35" s="3015" t="s">
        <v>3566</v>
      </c>
      <c r="E35" s="3016"/>
      <c r="F35" s="3016">
        <v>19665.09</v>
      </c>
      <c r="G35" s="3016">
        <v>1119.44</v>
      </c>
      <c r="H35" s="3016">
        <v>87.48</v>
      </c>
      <c r="I35" s="3242"/>
      <c r="J35" s="3016">
        <f t="shared" si="1"/>
        <v>20872.009999999998</v>
      </c>
    </row>
    <row r="36" spans="1:10">
      <c r="A36" s="3233"/>
      <c r="B36" s="3231"/>
      <c r="C36" s="3239"/>
      <c r="D36" s="3015" t="s">
        <v>3567</v>
      </c>
      <c r="E36" s="3016"/>
      <c r="F36" s="3016"/>
      <c r="G36" s="3016">
        <v>454.38</v>
      </c>
      <c r="H36" s="3016"/>
      <c r="I36" s="3242"/>
      <c r="J36" s="3016">
        <f t="shared" si="1"/>
        <v>454.38</v>
      </c>
    </row>
    <row r="37" spans="1:10">
      <c r="A37" s="3233"/>
      <c r="B37" s="3231"/>
      <c r="C37" s="3239"/>
      <c r="D37" s="3015" t="s">
        <v>3568</v>
      </c>
      <c r="E37" s="3016"/>
      <c r="F37" s="3016"/>
      <c r="G37" s="3016">
        <v>454.38</v>
      </c>
      <c r="H37" s="3016"/>
      <c r="I37" s="3242"/>
      <c r="J37" s="3016">
        <f t="shared" si="1"/>
        <v>454.38</v>
      </c>
    </row>
    <row r="38" spans="1:10">
      <c r="A38" s="3233"/>
      <c r="B38" s="3231"/>
      <c r="C38" s="3239"/>
      <c r="D38" s="3015" t="s">
        <v>3569</v>
      </c>
      <c r="E38" s="3016"/>
      <c r="F38" s="3016"/>
      <c r="G38" s="3016">
        <v>454.38</v>
      </c>
      <c r="H38" s="3016"/>
      <c r="I38" s="3242"/>
      <c r="J38" s="3016">
        <f t="shared" si="1"/>
        <v>454.38</v>
      </c>
    </row>
    <row r="39" spans="1:10">
      <c r="A39" s="3233"/>
      <c r="B39" s="3231"/>
      <c r="C39" s="3239"/>
      <c r="D39" s="3015" t="s">
        <v>3570</v>
      </c>
      <c r="E39" s="3016"/>
      <c r="F39" s="3016"/>
      <c r="G39" s="3016">
        <v>302.92</v>
      </c>
      <c r="H39" s="3016"/>
      <c r="I39" s="3242"/>
      <c r="J39" s="3016">
        <f t="shared" si="1"/>
        <v>302.92</v>
      </c>
    </row>
    <row r="40" spans="1:10">
      <c r="A40" s="3233"/>
      <c r="B40" s="3231"/>
      <c r="C40" s="3239"/>
      <c r="D40" s="3015" t="s">
        <v>3571</v>
      </c>
      <c r="E40" s="3016"/>
      <c r="F40" s="3016"/>
      <c r="G40" s="3016">
        <v>1060.22</v>
      </c>
      <c r="H40" s="3016"/>
      <c r="I40" s="3242"/>
      <c r="J40" s="3016">
        <f t="shared" si="1"/>
        <v>1060.22</v>
      </c>
    </row>
    <row r="41" spans="1:10">
      <c r="A41" s="3233"/>
      <c r="B41" s="3231"/>
      <c r="C41" s="3239"/>
      <c r="D41" s="3015" t="s">
        <v>3572</v>
      </c>
      <c r="E41" s="3016"/>
      <c r="F41" s="3016"/>
      <c r="G41" s="3016">
        <v>908.76</v>
      </c>
      <c r="H41" s="3016"/>
      <c r="I41" s="3242"/>
      <c r="J41" s="3016">
        <f t="shared" si="1"/>
        <v>908.76</v>
      </c>
    </row>
    <row r="42" spans="1:10">
      <c r="A42" s="3233"/>
      <c r="B42" s="3231"/>
      <c r="C42" s="3239"/>
      <c r="D42" s="3015" t="s">
        <v>3573</v>
      </c>
      <c r="E42" s="3016"/>
      <c r="F42" s="3016"/>
      <c r="G42" s="3016">
        <v>1060.22</v>
      </c>
      <c r="H42" s="3016"/>
      <c r="I42" s="3242"/>
      <c r="J42" s="3016">
        <f t="shared" si="1"/>
        <v>1060.22</v>
      </c>
    </row>
    <row r="43" spans="1:10">
      <c r="A43" s="3233"/>
      <c r="B43" s="3231"/>
      <c r="C43" s="3240"/>
      <c r="D43" s="3015" t="s">
        <v>3574</v>
      </c>
      <c r="E43" s="3016"/>
      <c r="F43" s="3016"/>
      <c r="G43" s="3016">
        <v>1363.14</v>
      </c>
      <c r="H43" s="3016"/>
      <c r="I43" s="3243"/>
      <c r="J43" s="3016">
        <f t="shared" si="1"/>
        <v>1363.14</v>
      </c>
    </row>
    <row r="44" spans="1:10">
      <c r="A44" s="3233"/>
      <c r="B44" s="3231"/>
      <c r="C44" s="3231" t="s">
        <v>40</v>
      </c>
      <c r="D44" s="3231"/>
      <c r="E44" s="3019">
        <f>SUM(E15:E43)</f>
        <v>0</v>
      </c>
      <c r="F44" s="3019">
        <f>SUM(F15:F43)</f>
        <v>63040.880000000005</v>
      </c>
      <c r="G44" s="3019">
        <f>SUM(G15:G43)</f>
        <v>19351.339999999997</v>
      </c>
      <c r="H44" s="3019">
        <f>SUM(H15:H43)</f>
        <v>882.80000000000007</v>
      </c>
      <c r="I44" s="3228">
        <f>SUM(I15:I43)</f>
        <v>37631.49</v>
      </c>
      <c r="J44" s="3228">
        <f>E46+I44</f>
        <v>120906.51000000001</v>
      </c>
    </row>
    <row r="45" spans="1:10">
      <c r="A45" s="3233"/>
      <c r="B45" s="3231"/>
      <c r="C45" s="3231"/>
      <c r="D45" s="3231"/>
      <c r="E45" s="3231">
        <f>SUM(E44:G44)</f>
        <v>82392.22</v>
      </c>
      <c r="F45" s="3231"/>
      <c r="G45" s="3231"/>
      <c r="H45" s="3019">
        <f>H44</f>
        <v>882.80000000000007</v>
      </c>
      <c r="I45" s="3229"/>
      <c r="J45" s="3229"/>
    </row>
    <row r="46" spans="1:10">
      <c r="A46" s="3233"/>
      <c r="B46" s="3231"/>
      <c r="C46" s="3231"/>
      <c r="D46" s="3231"/>
      <c r="E46" s="3231">
        <f>SUM(E45:H45)</f>
        <v>83275.02</v>
      </c>
      <c r="F46" s="3231"/>
      <c r="G46" s="3231"/>
      <c r="H46" s="3231"/>
      <c r="I46" s="3230"/>
      <c r="J46" s="3230"/>
    </row>
    <row r="47" spans="1:10">
      <c r="A47" s="3233"/>
      <c r="B47" s="3245" t="s">
        <v>3529</v>
      </c>
      <c r="C47" s="3245"/>
      <c r="D47" s="3245"/>
      <c r="E47" s="3016" t="s">
        <v>3530</v>
      </c>
      <c r="F47" s="3014" t="s">
        <v>3531</v>
      </c>
      <c r="G47" s="3016" t="s">
        <v>3532</v>
      </c>
      <c r="H47" s="3016" t="s">
        <v>3533</v>
      </c>
      <c r="I47" s="3016" t="s">
        <v>3534</v>
      </c>
      <c r="J47" s="3016" t="s">
        <v>37</v>
      </c>
    </row>
    <row r="48" spans="1:10">
      <c r="A48" s="3233"/>
      <c r="B48" s="3251" t="s">
        <v>3575</v>
      </c>
      <c r="C48" s="3245" t="s">
        <v>3576</v>
      </c>
      <c r="D48" s="3022" t="s">
        <v>3577</v>
      </c>
      <c r="E48" s="3022"/>
      <c r="F48" s="3022"/>
      <c r="G48" s="3022"/>
      <c r="H48" s="3022">
        <v>549.41999999999996</v>
      </c>
      <c r="I48" s="3245"/>
      <c r="J48" s="3022"/>
    </row>
    <row r="49" spans="1:10">
      <c r="A49" s="3233"/>
      <c r="B49" s="3251"/>
      <c r="C49" s="3245"/>
      <c r="D49" s="3022" t="s">
        <v>3578</v>
      </c>
      <c r="E49" s="3022"/>
      <c r="F49" s="3022"/>
      <c r="G49" s="3022"/>
      <c r="H49" s="3022">
        <v>280.36</v>
      </c>
      <c r="I49" s="3245"/>
      <c r="J49" s="3022"/>
    </row>
    <row r="50" spans="1:10">
      <c r="A50" s="3233"/>
      <c r="B50" s="3251"/>
      <c r="C50" s="3245"/>
      <c r="D50" s="3022" t="s">
        <v>3579</v>
      </c>
      <c r="E50" s="3022"/>
      <c r="F50" s="3022"/>
      <c r="G50" s="3022"/>
      <c r="H50" s="3022">
        <v>280.36</v>
      </c>
      <c r="I50" s="3245"/>
      <c r="J50" s="3022"/>
    </row>
    <row r="51" spans="1:10">
      <c r="A51" s="3233"/>
      <c r="B51" s="3251"/>
      <c r="C51" s="3245"/>
      <c r="D51" s="3022" t="s">
        <v>3580</v>
      </c>
      <c r="E51" s="3022"/>
      <c r="F51" s="3022"/>
      <c r="G51" s="3022"/>
      <c r="H51" s="3022">
        <v>200.68</v>
      </c>
      <c r="I51" s="3245"/>
      <c r="J51" s="3022"/>
    </row>
    <row r="52" spans="1:10">
      <c r="A52" s="3233"/>
      <c r="B52" s="3251"/>
      <c r="C52" s="3245"/>
      <c r="D52" s="3022" t="s">
        <v>3581</v>
      </c>
      <c r="E52" s="3022"/>
      <c r="F52" s="3022"/>
      <c r="G52" s="3022"/>
      <c r="H52" s="3022">
        <v>200.68</v>
      </c>
      <c r="I52" s="3245"/>
      <c r="J52" s="3022"/>
    </row>
    <row r="53" spans="1:10">
      <c r="A53" s="3233"/>
      <c r="B53" s="3251"/>
      <c r="C53" s="3245"/>
      <c r="D53" s="3022" t="s">
        <v>3582</v>
      </c>
      <c r="E53" s="3022"/>
      <c r="F53" s="3022"/>
      <c r="G53" s="3022"/>
      <c r="H53" s="3022">
        <v>321.7</v>
      </c>
      <c r="I53" s="3245"/>
      <c r="J53" s="3022"/>
    </row>
    <row r="54" spans="1:10">
      <c r="A54" s="3233"/>
      <c r="B54" s="3251"/>
      <c r="C54" s="3245"/>
      <c r="D54" s="3022" t="s">
        <v>3583</v>
      </c>
      <c r="E54" s="3022"/>
      <c r="F54" s="3022"/>
      <c r="G54" s="3022"/>
      <c r="H54" s="3022">
        <v>321.7</v>
      </c>
      <c r="I54" s="3245"/>
      <c r="J54" s="3022"/>
    </row>
    <row r="55" spans="1:10">
      <c r="A55" s="3233"/>
      <c r="B55" s="3251"/>
      <c r="C55" s="3245"/>
      <c r="D55" s="3022" t="s">
        <v>3584</v>
      </c>
      <c r="E55" s="3022"/>
      <c r="F55" s="3022"/>
      <c r="G55" s="3022"/>
      <c r="H55" s="3022">
        <v>265.68</v>
      </c>
      <c r="I55" s="3245"/>
      <c r="J55" s="3022"/>
    </row>
    <row r="56" spans="1:10">
      <c r="A56" s="3233"/>
      <c r="B56" s="3251"/>
      <c r="C56" s="3245"/>
      <c r="D56" s="3022" t="s">
        <v>3585</v>
      </c>
      <c r="E56" s="3022"/>
      <c r="F56" s="3022"/>
      <c r="G56" s="3022"/>
      <c r="H56" s="3022">
        <v>350.94</v>
      </c>
      <c r="I56" s="3245"/>
      <c r="J56" s="3022"/>
    </row>
    <row r="57" spans="1:10">
      <c r="A57" s="3233"/>
      <c r="B57" s="3251"/>
      <c r="C57" s="3245"/>
      <c r="D57" s="3022" t="s">
        <v>3586</v>
      </c>
      <c r="E57" s="3022"/>
      <c r="F57" s="3022"/>
      <c r="G57" s="3022"/>
      <c r="H57" s="3022">
        <v>350.94</v>
      </c>
      <c r="I57" s="3245"/>
      <c r="J57" s="3022"/>
    </row>
    <row r="58" spans="1:10">
      <c r="A58" s="3233"/>
      <c r="B58" s="3251"/>
      <c r="C58" s="3245"/>
      <c r="D58" s="3022" t="s">
        <v>3587</v>
      </c>
      <c r="E58" s="3022"/>
      <c r="F58" s="3022"/>
      <c r="G58" s="3022"/>
      <c r="H58" s="3022">
        <v>265.68</v>
      </c>
      <c r="I58" s="3245"/>
      <c r="J58" s="3022"/>
    </row>
    <row r="59" spans="1:10">
      <c r="A59" s="3233"/>
      <c r="B59" s="3251"/>
      <c r="C59" s="3245"/>
      <c r="D59" s="3022" t="s">
        <v>3588</v>
      </c>
      <c r="E59" s="3022"/>
      <c r="F59" s="3022"/>
      <c r="G59" s="3022"/>
      <c r="H59" s="3022">
        <v>187.38</v>
      </c>
      <c r="I59" s="3245"/>
      <c r="J59" s="3022"/>
    </row>
    <row r="60" spans="1:10">
      <c r="A60" s="3233"/>
      <c r="B60" s="3251"/>
      <c r="C60" s="3245"/>
      <c r="D60" s="3022" t="s">
        <v>3589</v>
      </c>
      <c r="E60" s="3022"/>
      <c r="F60" s="3022"/>
      <c r="G60" s="3022"/>
      <c r="H60" s="3022">
        <v>286.49</v>
      </c>
      <c r="I60" s="3245"/>
      <c r="J60" s="3022"/>
    </row>
    <row r="61" spans="1:10">
      <c r="A61" s="3233"/>
      <c r="B61" s="3251"/>
      <c r="C61" s="3245"/>
      <c r="D61" s="3022" t="s">
        <v>3590</v>
      </c>
      <c r="E61" s="3022"/>
      <c r="F61" s="3022"/>
      <c r="G61" s="3022"/>
      <c r="H61" s="3022">
        <v>142.38999999999999</v>
      </c>
      <c r="I61" s="3245"/>
      <c r="J61" s="3022"/>
    </row>
    <row r="62" spans="1:10">
      <c r="A62" s="3233"/>
      <c r="B62" s="3251"/>
      <c r="C62" s="3245"/>
      <c r="D62" s="3022" t="s">
        <v>3591</v>
      </c>
      <c r="E62" s="3022"/>
      <c r="F62" s="3022"/>
      <c r="G62" s="3022"/>
      <c r="H62" s="3022">
        <v>250.32</v>
      </c>
      <c r="I62" s="3245"/>
      <c r="J62" s="3022"/>
    </row>
    <row r="63" spans="1:10">
      <c r="A63" s="3233"/>
      <c r="B63" s="3251"/>
      <c r="C63" s="3245"/>
      <c r="D63" s="3022" t="s">
        <v>3592</v>
      </c>
      <c r="E63" s="3022"/>
      <c r="F63" s="3022"/>
      <c r="G63" s="3022"/>
      <c r="H63" s="3022">
        <v>250.32</v>
      </c>
      <c r="I63" s="3245"/>
      <c r="J63" s="3022"/>
    </row>
    <row r="64" spans="1:10">
      <c r="A64" s="3233"/>
      <c r="B64" s="3251"/>
      <c r="C64" s="3245"/>
      <c r="D64" s="3022" t="s">
        <v>3593</v>
      </c>
      <c r="E64" s="3022"/>
      <c r="F64" s="3022"/>
      <c r="G64" s="3022"/>
      <c r="H64" s="3022">
        <v>198.96</v>
      </c>
      <c r="I64" s="3245"/>
      <c r="J64" s="3022"/>
    </row>
    <row r="65" spans="1:10">
      <c r="A65" s="3233"/>
      <c r="B65" s="3251"/>
      <c r="C65" s="3244" t="s">
        <v>40</v>
      </c>
      <c r="D65" s="3244"/>
      <c r="E65" s="3023"/>
      <c r="F65" s="3023"/>
      <c r="G65" s="3023"/>
      <c r="H65" s="3023">
        <f>SUM(H48:H64)</f>
        <v>4704</v>
      </c>
      <c r="I65" s="3252"/>
      <c r="J65" s="3252">
        <f>E67+I65</f>
        <v>4704</v>
      </c>
    </row>
    <row r="66" spans="1:10">
      <c r="A66" s="3233"/>
      <c r="B66" s="3251"/>
      <c r="C66" s="3244"/>
      <c r="D66" s="3244"/>
      <c r="E66" s="3244"/>
      <c r="F66" s="3244"/>
      <c r="G66" s="3244"/>
      <c r="H66" s="3023">
        <f>H65</f>
        <v>4704</v>
      </c>
      <c r="I66" s="3253"/>
      <c r="J66" s="3253"/>
    </row>
    <row r="67" spans="1:10">
      <c r="A67" s="3233"/>
      <c r="B67" s="3251"/>
      <c r="C67" s="3244"/>
      <c r="D67" s="3244"/>
      <c r="E67" s="3244">
        <f>SUM(E66:H66)</f>
        <v>4704</v>
      </c>
      <c r="F67" s="3244"/>
      <c r="G67" s="3244"/>
      <c r="H67" s="3244"/>
      <c r="I67" s="3254"/>
      <c r="J67" s="3254"/>
    </row>
    <row r="68" spans="1:10">
      <c r="A68" s="3233"/>
      <c r="B68" s="3245" t="s">
        <v>3529</v>
      </c>
      <c r="C68" s="3245"/>
      <c r="D68" s="3245"/>
      <c r="E68" s="3016" t="s">
        <v>3530</v>
      </c>
      <c r="F68" s="3014" t="s">
        <v>3531</v>
      </c>
      <c r="G68" s="3016" t="s">
        <v>3532</v>
      </c>
      <c r="H68" s="3016" t="s">
        <v>3533</v>
      </c>
      <c r="I68" s="3016" t="s">
        <v>3534</v>
      </c>
      <c r="J68" s="3016" t="s">
        <v>37</v>
      </c>
    </row>
    <row r="69" spans="1:10">
      <c r="A69" s="3233"/>
      <c r="B69" s="3246" t="s">
        <v>3594</v>
      </c>
      <c r="C69" s="3245" t="s">
        <v>3595</v>
      </c>
      <c r="D69" s="3022" t="s">
        <v>3596</v>
      </c>
      <c r="E69" s="3022"/>
      <c r="F69" s="3022"/>
      <c r="G69" s="3022"/>
      <c r="H69" s="3022">
        <v>1005.15</v>
      </c>
      <c r="I69" s="3245"/>
      <c r="J69" s="3022"/>
    </row>
    <row r="70" spans="1:10">
      <c r="A70" s="3233"/>
      <c r="B70" s="3246"/>
      <c r="C70" s="3245"/>
      <c r="D70" s="3022" t="s">
        <v>3597</v>
      </c>
      <c r="E70" s="3022"/>
      <c r="F70" s="3022"/>
      <c r="G70" s="3022"/>
      <c r="H70" s="3022">
        <v>2147.85</v>
      </c>
      <c r="I70" s="3245"/>
      <c r="J70" s="3022"/>
    </row>
    <row r="71" spans="1:10">
      <c r="A71" s="3233"/>
      <c r="B71" s="3246"/>
      <c r="C71" s="3245"/>
      <c r="D71" s="3022" t="s">
        <v>3598</v>
      </c>
      <c r="E71" s="3022"/>
      <c r="F71" s="3022"/>
      <c r="G71" s="3022"/>
      <c r="H71" s="3022">
        <v>426.56</v>
      </c>
      <c r="I71" s="3245"/>
      <c r="J71" s="3022"/>
    </row>
    <row r="72" spans="1:10">
      <c r="A72" s="3233"/>
      <c r="B72" s="3246"/>
      <c r="C72" s="3245"/>
      <c r="D72" s="3022" t="s">
        <v>3599</v>
      </c>
      <c r="E72" s="3022"/>
      <c r="F72" s="3022"/>
      <c r="G72" s="3022"/>
      <c r="H72" s="3022">
        <v>3606.25</v>
      </c>
      <c r="I72" s="3245"/>
      <c r="J72" s="3022"/>
    </row>
    <row r="73" spans="1:10">
      <c r="A73" s="3233"/>
      <c r="B73" s="3246"/>
      <c r="C73" s="3245"/>
      <c r="D73" s="3022" t="s">
        <v>3600</v>
      </c>
      <c r="E73" s="3022"/>
      <c r="F73" s="3022"/>
      <c r="G73" s="3022"/>
      <c r="H73" s="3022">
        <v>118.39</v>
      </c>
      <c r="I73" s="3245"/>
      <c r="J73" s="3022"/>
    </row>
    <row r="74" spans="1:10">
      <c r="A74" s="3233"/>
      <c r="B74" s="3246"/>
      <c r="C74" s="3245"/>
      <c r="D74" s="3022" t="s">
        <v>3601</v>
      </c>
      <c r="E74" s="3022"/>
      <c r="F74" s="3022"/>
      <c r="G74" s="3022"/>
      <c r="H74" s="3022">
        <v>118.39</v>
      </c>
      <c r="I74" s="3245"/>
      <c r="J74" s="3022"/>
    </row>
    <row r="75" spans="1:10">
      <c r="A75" s="3233"/>
      <c r="B75" s="3246"/>
      <c r="C75" s="3245"/>
      <c r="D75" s="3022" t="s">
        <v>3602</v>
      </c>
      <c r="E75" s="3022"/>
      <c r="F75" s="3022"/>
      <c r="G75" s="3022"/>
      <c r="H75" s="3022">
        <v>118.39</v>
      </c>
      <c r="I75" s="3245"/>
      <c r="J75" s="3022"/>
    </row>
    <row r="76" spans="1:10">
      <c r="A76" s="3233"/>
      <c r="B76" s="3246"/>
      <c r="C76" s="3245"/>
      <c r="D76" s="3022" t="s">
        <v>3603</v>
      </c>
      <c r="E76" s="3022"/>
      <c r="F76" s="3022"/>
      <c r="G76" s="3022"/>
      <c r="H76" s="3022">
        <v>185.76</v>
      </c>
      <c r="I76" s="3245"/>
      <c r="J76" s="3022"/>
    </row>
    <row r="77" spans="1:10">
      <c r="A77" s="3233"/>
      <c r="B77" s="3246"/>
      <c r="C77" s="3245"/>
      <c r="D77" s="3022" t="s">
        <v>3604</v>
      </c>
      <c r="E77" s="3022"/>
      <c r="F77" s="3022"/>
      <c r="G77" s="3022"/>
      <c r="H77" s="3022">
        <v>185.76</v>
      </c>
      <c r="I77" s="3245"/>
      <c r="J77" s="3022"/>
    </row>
    <row r="78" spans="1:10">
      <c r="A78" s="3233"/>
      <c r="B78" s="3246"/>
      <c r="C78" s="3245"/>
      <c r="D78" s="3022" t="s">
        <v>3605</v>
      </c>
      <c r="E78" s="3022"/>
      <c r="F78" s="3022"/>
      <c r="G78" s="3022"/>
      <c r="H78" s="3022">
        <v>398.89</v>
      </c>
      <c r="I78" s="3245"/>
      <c r="J78" s="3022"/>
    </row>
    <row r="79" spans="1:10">
      <c r="A79" s="3233"/>
      <c r="B79" s="3246"/>
      <c r="C79" s="3245"/>
      <c r="D79" s="3022" t="s">
        <v>3606</v>
      </c>
      <c r="E79" s="3022"/>
      <c r="F79" s="3022"/>
      <c r="G79" s="3022"/>
      <c r="H79" s="3022">
        <v>398.89</v>
      </c>
      <c r="I79" s="3245"/>
      <c r="J79" s="3022"/>
    </row>
    <row r="80" spans="1:10">
      <c r="A80" s="3233"/>
      <c r="B80" s="3246"/>
      <c r="C80" s="3245"/>
      <c r="D80" s="3022" t="s">
        <v>3607</v>
      </c>
      <c r="E80" s="3022"/>
      <c r="F80" s="3022"/>
      <c r="G80" s="3022"/>
      <c r="H80" s="3022">
        <v>458.89</v>
      </c>
      <c r="I80" s="3245"/>
      <c r="J80" s="3022"/>
    </row>
    <row r="81" spans="1:10">
      <c r="A81" s="3233"/>
      <c r="B81" s="3246"/>
      <c r="C81" s="3245"/>
      <c r="D81" s="3022" t="s">
        <v>3608</v>
      </c>
      <c r="E81" s="3022"/>
      <c r="F81" s="3022"/>
      <c r="G81" s="3022"/>
      <c r="H81" s="3022">
        <v>458.89</v>
      </c>
      <c r="I81" s="3245"/>
      <c r="J81" s="3022"/>
    </row>
    <row r="82" spans="1:10">
      <c r="A82" s="3233"/>
      <c r="B82" s="3246"/>
      <c r="C82" s="3247" t="s">
        <v>40</v>
      </c>
      <c r="D82" s="3247"/>
      <c r="E82" s="3024"/>
      <c r="F82" s="3024"/>
      <c r="G82" s="3024"/>
      <c r="H82" s="3024">
        <f>SUM(H69:H81)</f>
        <v>9628.06</v>
      </c>
      <c r="I82" s="3248"/>
      <c r="J82" s="3248">
        <f>E84+I82</f>
        <v>9628.06</v>
      </c>
    </row>
    <row r="83" spans="1:10">
      <c r="A83" s="3233"/>
      <c r="B83" s="3246"/>
      <c r="C83" s="3247"/>
      <c r="D83" s="3247"/>
      <c r="E83" s="3247"/>
      <c r="F83" s="3247"/>
      <c r="G83" s="3247"/>
      <c r="H83" s="3024">
        <f>H82</f>
        <v>9628.06</v>
      </c>
      <c r="I83" s="3249"/>
      <c r="J83" s="3249"/>
    </row>
    <row r="84" spans="1:10">
      <c r="A84" s="3233"/>
      <c r="B84" s="3246"/>
      <c r="C84" s="3247"/>
      <c r="D84" s="3247"/>
      <c r="E84" s="3247">
        <f>SUM(E83:H83)</f>
        <v>9628.06</v>
      </c>
      <c r="F84" s="3247"/>
      <c r="G84" s="3247"/>
      <c r="H84" s="3247"/>
      <c r="I84" s="3250"/>
      <c r="J84" s="3250"/>
    </row>
    <row r="85" spans="1:10">
      <c r="A85" s="3233"/>
      <c r="B85" s="3245" t="s">
        <v>3529</v>
      </c>
      <c r="C85" s="3245"/>
      <c r="D85" s="3245"/>
      <c r="E85" s="3016" t="s">
        <v>3530</v>
      </c>
      <c r="F85" s="3014" t="s">
        <v>3531</v>
      </c>
      <c r="G85" s="3016" t="s">
        <v>3532</v>
      </c>
      <c r="H85" s="3016" t="s">
        <v>3533</v>
      </c>
      <c r="I85" s="3016" t="s">
        <v>3534</v>
      </c>
      <c r="J85" s="3016" t="s">
        <v>37</v>
      </c>
    </row>
    <row r="86" spans="1:10">
      <c r="A86" s="3233"/>
      <c r="B86" s="3260" t="s">
        <v>3609</v>
      </c>
      <c r="C86" s="3245" t="s">
        <v>3610</v>
      </c>
      <c r="D86" s="3022" t="s">
        <v>3611</v>
      </c>
      <c r="E86" s="3022"/>
      <c r="F86" s="3022"/>
      <c r="G86" s="3022"/>
      <c r="H86" s="3022">
        <v>745.57</v>
      </c>
      <c r="I86" s="3245"/>
      <c r="J86" s="3022"/>
    </row>
    <row r="87" spans="1:10">
      <c r="A87" s="3233"/>
      <c r="B87" s="3260"/>
      <c r="C87" s="3245"/>
      <c r="D87" s="3022" t="s">
        <v>3612</v>
      </c>
      <c r="E87" s="3022"/>
      <c r="F87" s="3022"/>
      <c r="G87" s="3022"/>
      <c r="H87" s="3022">
        <v>1730.02</v>
      </c>
      <c r="I87" s="3245"/>
      <c r="J87" s="3022"/>
    </row>
    <row r="88" spans="1:10">
      <c r="A88" s="3233"/>
      <c r="B88" s="3260"/>
      <c r="C88" s="3245"/>
      <c r="D88" s="3022" t="s">
        <v>3613</v>
      </c>
      <c r="E88" s="3022"/>
      <c r="F88" s="3022"/>
      <c r="G88" s="3022"/>
      <c r="H88" s="3022">
        <v>1725.23</v>
      </c>
      <c r="I88" s="3245"/>
      <c r="J88" s="3022"/>
    </row>
    <row r="89" spans="1:10">
      <c r="A89" s="3233"/>
      <c r="B89" s="3260"/>
      <c r="C89" s="3245"/>
      <c r="D89" s="3022" t="s">
        <v>3614</v>
      </c>
      <c r="E89" s="3022"/>
      <c r="F89" s="3022"/>
      <c r="G89" s="3022"/>
      <c r="H89" s="3022">
        <v>926.96</v>
      </c>
      <c r="I89" s="3245"/>
      <c r="J89" s="3022"/>
    </row>
    <row r="90" spans="1:10">
      <c r="A90" s="3233"/>
      <c r="B90" s="3260"/>
      <c r="C90" s="3245"/>
      <c r="D90" s="3022" t="s">
        <v>3615</v>
      </c>
      <c r="E90" s="3022"/>
      <c r="F90" s="3022"/>
      <c r="G90" s="3022"/>
      <c r="H90" s="3022">
        <v>1569.8</v>
      </c>
      <c r="I90" s="3245"/>
      <c r="J90" s="3022"/>
    </row>
    <row r="91" spans="1:10">
      <c r="A91" s="3233"/>
      <c r="B91" s="3260"/>
      <c r="C91" s="3245"/>
      <c r="D91" s="3022" t="s">
        <v>3616</v>
      </c>
      <c r="E91" s="3022"/>
      <c r="F91" s="3022"/>
      <c r="G91" s="3022"/>
      <c r="H91" s="3022">
        <v>2879.57</v>
      </c>
      <c r="I91" s="3245"/>
      <c r="J91" s="3022"/>
    </row>
    <row r="92" spans="1:10">
      <c r="A92" s="3233"/>
      <c r="B92" s="3260"/>
      <c r="C92" s="3245"/>
      <c r="D92" s="3022" t="s">
        <v>3617</v>
      </c>
      <c r="E92" s="3022"/>
      <c r="F92" s="3022"/>
      <c r="G92" s="3022"/>
      <c r="H92" s="3022">
        <v>5003.41</v>
      </c>
      <c r="I92" s="3245"/>
      <c r="J92" s="3022"/>
    </row>
    <row r="93" spans="1:10">
      <c r="A93" s="3233"/>
      <c r="B93" s="3260"/>
      <c r="C93" s="3245"/>
      <c r="D93" s="3022" t="s">
        <v>3618</v>
      </c>
      <c r="E93" s="3022"/>
      <c r="F93" s="3022"/>
      <c r="G93" s="3022"/>
      <c r="H93" s="3022">
        <v>4067.53</v>
      </c>
      <c r="I93" s="3245"/>
      <c r="J93" s="3022"/>
    </row>
    <row r="94" spans="1:10">
      <c r="A94" s="3233"/>
      <c r="B94" s="3260"/>
      <c r="C94" s="3245"/>
      <c r="D94" s="3022" t="s">
        <v>3619</v>
      </c>
      <c r="E94" s="3022"/>
      <c r="F94" s="3022"/>
      <c r="G94" s="3022"/>
      <c r="H94" s="3022">
        <v>944.92</v>
      </c>
      <c r="I94" s="3245"/>
      <c r="J94" s="3022"/>
    </row>
    <row r="95" spans="1:10">
      <c r="A95" s="3233"/>
      <c r="B95" s="3260"/>
      <c r="C95" s="3245"/>
      <c r="D95" s="3022" t="s">
        <v>3620</v>
      </c>
      <c r="E95" s="3022"/>
      <c r="F95" s="3022"/>
      <c r="G95" s="3022"/>
      <c r="H95" s="3022">
        <v>594.55999999999995</v>
      </c>
      <c r="I95" s="3245"/>
      <c r="J95" s="3022"/>
    </row>
    <row r="96" spans="1:10">
      <c r="A96" s="3233"/>
      <c r="B96" s="3260"/>
      <c r="C96" s="3245"/>
      <c r="D96" s="3022" t="s">
        <v>3621</v>
      </c>
      <c r="E96" s="3022"/>
      <c r="F96" s="3022"/>
      <c r="G96" s="3022"/>
      <c r="H96" s="3022">
        <v>945.95</v>
      </c>
      <c r="I96" s="3245"/>
      <c r="J96" s="3022"/>
    </row>
    <row r="97" spans="1:10">
      <c r="A97" s="3233"/>
      <c r="B97" s="3260"/>
      <c r="C97" s="3245"/>
      <c r="D97" s="3022" t="s">
        <v>3622</v>
      </c>
      <c r="E97" s="3022"/>
      <c r="F97" s="3022"/>
      <c r="G97" s="3022"/>
      <c r="H97" s="3022">
        <v>866.22</v>
      </c>
      <c r="I97" s="3245"/>
      <c r="J97" s="3022"/>
    </row>
    <row r="98" spans="1:10">
      <c r="A98" s="3233"/>
      <c r="B98" s="3260"/>
      <c r="C98" s="3255" t="s">
        <v>40</v>
      </c>
      <c r="D98" s="3255"/>
      <c r="E98" s="3025"/>
      <c r="F98" s="3025"/>
      <c r="G98" s="3025"/>
      <c r="H98" s="3025">
        <f>SUM(H86:H97)</f>
        <v>21999.74</v>
      </c>
      <c r="I98" s="3261"/>
      <c r="J98" s="3261">
        <f>E100+I98</f>
        <v>21999.74</v>
      </c>
    </row>
    <row r="99" spans="1:10">
      <c r="A99" s="3233"/>
      <c r="B99" s="3260"/>
      <c r="C99" s="3255"/>
      <c r="D99" s="3255"/>
      <c r="E99" s="3255"/>
      <c r="F99" s="3255"/>
      <c r="G99" s="3255"/>
      <c r="H99" s="3025">
        <f>H98</f>
        <v>21999.74</v>
      </c>
      <c r="I99" s="3262"/>
      <c r="J99" s="3262"/>
    </row>
    <row r="100" spans="1:10">
      <c r="A100" s="3233"/>
      <c r="B100" s="3260"/>
      <c r="C100" s="3255"/>
      <c r="D100" s="3255"/>
      <c r="E100" s="3255">
        <f>SUM(E99:H99)</f>
        <v>21999.74</v>
      </c>
      <c r="F100" s="3255"/>
      <c r="G100" s="3255"/>
      <c r="H100" s="3255"/>
      <c r="I100" s="3263"/>
      <c r="J100" s="3263"/>
    </row>
    <row r="101" spans="1:10">
      <c r="A101" s="3233"/>
      <c r="B101" s="3256" t="s">
        <v>3623</v>
      </c>
      <c r="C101" s="3256"/>
      <c r="D101" s="3256"/>
      <c r="E101" s="3026"/>
      <c r="F101" s="3026">
        <f>F44</f>
        <v>63040.880000000005</v>
      </c>
      <c r="G101" s="3026">
        <f>G11+G44</f>
        <v>24126.539999999997</v>
      </c>
      <c r="H101" s="3026">
        <f>H44+H65+H82+H98</f>
        <v>37214.600000000006</v>
      </c>
      <c r="I101" s="3257">
        <f>I11+I44</f>
        <v>42016.93</v>
      </c>
      <c r="J101" s="3257">
        <f>J11+J44+J65+J82+J98</f>
        <v>166398.95000000001</v>
      </c>
    </row>
    <row r="102" spans="1:10">
      <c r="A102" s="3233"/>
      <c r="B102" s="3256"/>
      <c r="C102" s="3256"/>
      <c r="D102" s="3256"/>
      <c r="E102" s="3256">
        <f>F101+G101</f>
        <v>87167.42</v>
      </c>
      <c r="F102" s="3256"/>
      <c r="G102" s="3256"/>
      <c r="H102" s="3026">
        <f>H101</f>
        <v>37214.600000000006</v>
      </c>
      <c r="I102" s="3258"/>
      <c r="J102" s="3258"/>
    </row>
    <row r="103" spans="1:10">
      <c r="A103" s="3233"/>
      <c r="B103" s="3256"/>
      <c r="C103" s="3256"/>
      <c r="D103" s="3256"/>
      <c r="E103" s="3256">
        <f>E102+H102</f>
        <v>124382.02</v>
      </c>
      <c r="F103" s="3256"/>
      <c r="G103" s="3256"/>
      <c r="H103" s="3256"/>
      <c r="I103" s="3259"/>
      <c r="J103" s="3259"/>
    </row>
    <row r="104" spans="1:10">
      <c r="A104" s="3264" t="s">
        <v>3624</v>
      </c>
      <c r="B104" s="3234" t="s">
        <v>3523</v>
      </c>
      <c r="C104" s="3234"/>
      <c r="D104" s="3234"/>
      <c r="E104" s="3234" t="s">
        <v>3524</v>
      </c>
      <c r="F104" s="3234"/>
      <c r="G104" s="3234"/>
      <c r="H104" s="3234"/>
      <c r="I104" s="3012" t="s">
        <v>3525</v>
      </c>
      <c r="J104" s="3234" t="s">
        <v>37</v>
      </c>
    </row>
    <row r="105" spans="1:10">
      <c r="A105" s="3265"/>
      <c r="B105" s="3235" t="s">
        <v>3526</v>
      </c>
      <c r="C105" s="3235"/>
      <c r="D105" s="3235"/>
      <c r="E105" s="3235" t="s">
        <v>3527</v>
      </c>
      <c r="F105" s="3235"/>
      <c r="G105" s="3235"/>
      <c r="H105" s="3235" t="s">
        <v>3528</v>
      </c>
      <c r="I105" s="3235"/>
      <c r="J105" s="3234"/>
    </row>
    <row r="106" spans="1:10">
      <c r="A106" s="3265"/>
      <c r="B106" s="3236" t="s">
        <v>3529</v>
      </c>
      <c r="C106" s="3236"/>
      <c r="D106" s="3236"/>
      <c r="E106" s="3013" t="s">
        <v>3530</v>
      </c>
      <c r="F106" s="3013" t="s">
        <v>3625</v>
      </c>
      <c r="G106" s="3013" t="s">
        <v>3532</v>
      </c>
      <c r="H106" s="3013" t="s">
        <v>3533</v>
      </c>
      <c r="I106" s="3013" t="s">
        <v>3534</v>
      </c>
      <c r="J106" s="3234"/>
    </row>
    <row r="107" spans="1:10">
      <c r="A107" s="3265"/>
      <c r="B107" s="3237" t="s">
        <v>3626</v>
      </c>
      <c r="C107" s="3238" t="s">
        <v>3627</v>
      </c>
      <c r="D107" s="3015" t="s">
        <v>3628</v>
      </c>
      <c r="E107" s="3016"/>
      <c r="F107" s="3016"/>
      <c r="G107" s="3016">
        <v>939.32</v>
      </c>
      <c r="H107" s="3016"/>
      <c r="I107" s="3241">
        <v>20331.189999999999</v>
      </c>
      <c r="J107" s="3016">
        <f>SUM(E107:H107)</f>
        <v>939.32</v>
      </c>
    </row>
    <row r="108" spans="1:10">
      <c r="A108" s="3265"/>
      <c r="B108" s="3231"/>
      <c r="C108" s="3239"/>
      <c r="D108" s="3015" t="s">
        <v>3629</v>
      </c>
      <c r="E108" s="3016"/>
      <c r="F108" s="3016"/>
      <c r="G108" s="3016">
        <v>1124.9100000000001</v>
      </c>
      <c r="H108" s="3016"/>
      <c r="I108" s="3242"/>
      <c r="J108" s="3016">
        <f t="shared" ref="J108:J122" si="2">SUM(E108:H108)</f>
        <v>1124.9100000000001</v>
      </c>
    </row>
    <row r="109" spans="1:10">
      <c r="A109" s="3265"/>
      <c r="B109" s="3231"/>
      <c r="C109" s="3239"/>
      <c r="D109" s="3015" t="s">
        <v>3630</v>
      </c>
      <c r="E109" s="3016"/>
      <c r="F109" s="3016"/>
      <c r="G109" s="3016">
        <v>605.84</v>
      </c>
      <c r="H109" s="3016"/>
      <c r="I109" s="3242"/>
      <c r="J109" s="3016">
        <f t="shared" si="2"/>
        <v>605.84</v>
      </c>
    </row>
    <row r="110" spans="1:10">
      <c r="A110" s="3265"/>
      <c r="B110" s="3231"/>
      <c r="C110" s="3239"/>
      <c r="D110" s="3015" t="s">
        <v>3631</v>
      </c>
      <c r="E110" s="3016"/>
      <c r="F110" s="3016"/>
      <c r="G110" s="3016">
        <v>1124.9100000000001</v>
      </c>
      <c r="H110" s="3016"/>
      <c r="I110" s="3242"/>
      <c r="J110" s="3016">
        <f t="shared" si="2"/>
        <v>1124.9100000000001</v>
      </c>
    </row>
    <row r="111" spans="1:10">
      <c r="A111" s="3265"/>
      <c r="B111" s="3231"/>
      <c r="C111" s="3239"/>
      <c r="D111" s="3015" t="s">
        <v>3632</v>
      </c>
      <c r="E111" s="3016"/>
      <c r="F111" s="3016"/>
      <c r="G111" s="3016">
        <v>908.76</v>
      </c>
      <c r="H111" s="3016"/>
      <c r="I111" s="3242"/>
      <c r="J111" s="3016">
        <f t="shared" si="2"/>
        <v>908.76</v>
      </c>
    </row>
    <row r="112" spans="1:10">
      <c r="A112" s="3265"/>
      <c r="B112" s="3231"/>
      <c r="C112" s="3239"/>
      <c r="D112" s="3015" t="s">
        <v>3633</v>
      </c>
      <c r="E112" s="3016"/>
      <c r="F112" s="3016"/>
      <c r="G112" s="3016">
        <v>605.84</v>
      </c>
      <c r="H112" s="3016"/>
      <c r="I112" s="3242"/>
      <c r="J112" s="3016">
        <f t="shared" si="2"/>
        <v>605.84</v>
      </c>
    </row>
    <row r="113" spans="1:10">
      <c r="A113" s="3265"/>
      <c r="B113" s="3231"/>
      <c r="C113" s="3239"/>
      <c r="D113" s="3015" t="s">
        <v>3634</v>
      </c>
      <c r="E113" s="3016"/>
      <c r="F113" s="3016"/>
      <c r="G113" s="3016">
        <v>454.38</v>
      </c>
      <c r="H113" s="3016"/>
      <c r="I113" s="3242"/>
      <c r="J113" s="3016">
        <f t="shared" si="2"/>
        <v>454.38</v>
      </c>
    </row>
    <row r="114" spans="1:10">
      <c r="A114" s="3265"/>
      <c r="B114" s="3231"/>
      <c r="C114" s="3239"/>
      <c r="D114" s="3015" t="s">
        <v>3635</v>
      </c>
      <c r="E114" s="3016"/>
      <c r="F114" s="3016"/>
      <c r="G114" s="3016">
        <v>1310.5</v>
      </c>
      <c r="H114" s="3016"/>
      <c r="I114" s="3242"/>
      <c r="J114" s="3016">
        <f t="shared" si="2"/>
        <v>1310.5</v>
      </c>
    </row>
    <row r="115" spans="1:10">
      <c r="A115" s="3265"/>
      <c r="B115" s="3231"/>
      <c r="C115" s="3239"/>
      <c r="D115" s="3015" t="s">
        <v>3636</v>
      </c>
      <c r="E115" s="3016"/>
      <c r="F115" s="3016"/>
      <c r="G115" s="3016">
        <v>605.84</v>
      </c>
      <c r="H115" s="3016"/>
      <c r="I115" s="3242"/>
      <c r="J115" s="3016">
        <f t="shared" si="2"/>
        <v>605.84</v>
      </c>
    </row>
    <row r="116" spans="1:10">
      <c r="A116" s="3265"/>
      <c r="B116" s="3231"/>
      <c r="C116" s="3239"/>
      <c r="D116" s="3015" t="s">
        <v>3637</v>
      </c>
      <c r="E116" s="3016"/>
      <c r="F116" s="3016"/>
      <c r="G116" s="3016">
        <v>757.3</v>
      </c>
      <c r="H116" s="3016"/>
      <c r="I116" s="3242"/>
      <c r="J116" s="3016">
        <f t="shared" si="2"/>
        <v>757.3</v>
      </c>
    </row>
    <row r="117" spans="1:10">
      <c r="A117" s="3265"/>
      <c r="B117" s="3231"/>
      <c r="C117" s="3239"/>
      <c r="D117" s="3015" t="s">
        <v>3638</v>
      </c>
      <c r="E117" s="3016"/>
      <c r="F117" s="3016"/>
      <c r="G117" s="3016">
        <v>939.32</v>
      </c>
      <c r="H117" s="3016"/>
      <c r="I117" s="3242"/>
      <c r="J117" s="3016">
        <f t="shared" si="2"/>
        <v>939.32</v>
      </c>
    </row>
    <row r="118" spans="1:10">
      <c r="A118" s="3265"/>
      <c r="B118" s="3231"/>
      <c r="C118" s="3239"/>
      <c r="D118" s="3015" t="s">
        <v>3639</v>
      </c>
      <c r="E118" s="3016"/>
      <c r="F118" s="3016"/>
      <c r="G118" s="3016">
        <v>757.3</v>
      </c>
      <c r="H118" s="3016"/>
      <c r="I118" s="3242"/>
      <c r="J118" s="3016">
        <f t="shared" si="2"/>
        <v>757.3</v>
      </c>
    </row>
    <row r="119" spans="1:10">
      <c r="A119" s="3265"/>
      <c r="B119" s="3231"/>
      <c r="C119" s="3239"/>
      <c r="D119" s="3015" t="s">
        <v>3640</v>
      </c>
      <c r="E119" s="3016"/>
      <c r="F119" s="3016"/>
      <c r="G119" s="3016">
        <v>908.76</v>
      </c>
      <c r="H119" s="3016"/>
      <c r="I119" s="3242"/>
      <c r="J119" s="3016">
        <f t="shared" si="2"/>
        <v>908.76</v>
      </c>
    </row>
    <row r="120" spans="1:10">
      <c r="A120" s="3265"/>
      <c r="B120" s="3231"/>
      <c r="C120" s="3239"/>
      <c r="D120" s="3015" t="s">
        <v>3641</v>
      </c>
      <c r="E120" s="3016"/>
      <c r="F120" s="3016"/>
      <c r="G120" s="3016">
        <v>757.3</v>
      </c>
      <c r="H120" s="3016"/>
      <c r="I120" s="3242"/>
      <c r="J120" s="3016">
        <f t="shared" si="2"/>
        <v>757.3</v>
      </c>
    </row>
    <row r="121" spans="1:10">
      <c r="A121" s="3265"/>
      <c r="B121" s="3231"/>
      <c r="C121" s="3239"/>
      <c r="D121" s="3015" t="s">
        <v>3642</v>
      </c>
      <c r="E121" s="3016"/>
      <c r="F121" s="3016"/>
      <c r="G121" s="3016">
        <v>759.39</v>
      </c>
      <c r="H121" s="3016"/>
      <c r="I121" s="3242"/>
      <c r="J121" s="3016">
        <f t="shared" si="2"/>
        <v>759.39</v>
      </c>
    </row>
    <row r="122" spans="1:10">
      <c r="A122" s="3265"/>
      <c r="B122" s="3231"/>
      <c r="C122" s="3239"/>
      <c r="D122" s="3015" t="s">
        <v>3643</v>
      </c>
      <c r="E122" s="3016"/>
      <c r="F122" s="3016"/>
      <c r="G122" s="3016">
        <v>762.67</v>
      </c>
      <c r="H122" s="3016"/>
      <c r="I122" s="3242"/>
      <c r="J122" s="3016">
        <f t="shared" si="2"/>
        <v>762.67</v>
      </c>
    </row>
    <row r="123" spans="1:10">
      <c r="A123" s="3265"/>
      <c r="B123" s="3231"/>
      <c r="C123" s="3231" t="s">
        <v>40</v>
      </c>
      <c r="D123" s="3231"/>
      <c r="E123" s="3019">
        <f>SUM(E107:E122)</f>
        <v>0</v>
      </c>
      <c r="F123" s="3019">
        <f>SUM(F107:F122)</f>
        <v>0</v>
      </c>
      <c r="G123" s="3019">
        <f>SUM(G107:G122)</f>
        <v>13322.339999999998</v>
      </c>
      <c r="H123" s="3019">
        <f>SUM(H107:H122)</f>
        <v>0</v>
      </c>
      <c r="I123" s="3228">
        <f>SUM(I107:I122)</f>
        <v>20331.189999999999</v>
      </c>
      <c r="J123" s="3228">
        <f>E125+I123</f>
        <v>33653.53</v>
      </c>
    </row>
    <row r="124" spans="1:10">
      <c r="A124" s="3265"/>
      <c r="B124" s="3231"/>
      <c r="C124" s="3231"/>
      <c r="D124" s="3231"/>
      <c r="E124" s="3231">
        <f>SUM(E123:G123)</f>
        <v>13322.339999999998</v>
      </c>
      <c r="F124" s="3231"/>
      <c r="G124" s="3231"/>
      <c r="H124" s="3019">
        <f>H123</f>
        <v>0</v>
      </c>
      <c r="I124" s="3229"/>
      <c r="J124" s="3229"/>
    </row>
    <row r="125" spans="1:10">
      <c r="A125" s="3266"/>
      <c r="B125" s="3231"/>
      <c r="C125" s="3231"/>
      <c r="D125" s="3231"/>
      <c r="E125" s="3231">
        <f>SUM(E124:H124)</f>
        <v>13322.339999999998</v>
      </c>
      <c r="F125" s="3231"/>
      <c r="G125" s="3231"/>
      <c r="H125" s="3231"/>
      <c r="I125" s="3230"/>
      <c r="J125" s="3230"/>
    </row>
    <row r="126" spans="1:10">
      <c r="A126" s="3274" t="s">
        <v>3644</v>
      </c>
      <c r="B126" s="3234" t="s">
        <v>3523</v>
      </c>
      <c r="C126" s="3234"/>
      <c r="D126" s="3234"/>
      <c r="E126" s="3234" t="s">
        <v>3524</v>
      </c>
      <c r="F126" s="3234"/>
      <c r="G126" s="3234"/>
      <c r="H126" s="3234"/>
      <c r="I126" s="3012" t="s">
        <v>3525</v>
      </c>
      <c r="J126" s="3234" t="s">
        <v>37</v>
      </c>
    </row>
    <row r="127" spans="1:10">
      <c r="A127" s="3275"/>
      <c r="B127" s="3235" t="s">
        <v>3526</v>
      </c>
      <c r="C127" s="3235"/>
      <c r="D127" s="3235"/>
      <c r="E127" s="3235" t="s">
        <v>3527</v>
      </c>
      <c r="F127" s="3235"/>
      <c r="G127" s="3235"/>
      <c r="H127" s="3235" t="s">
        <v>3528</v>
      </c>
      <c r="I127" s="3235"/>
      <c r="J127" s="3234"/>
    </row>
    <row r="128" spans="1:10">
      <c r="A128" s="3275"/>
      <c r="B128" s="3236" t="s">
        <v>3529</v>
      </c>
      <c r="C128" s="3236"/>
      <c r="D128" s="3236"/>
      <c r="E128" s="3013" t="s">
        <v>3530</v>
      </c>
      <c r="F128" s="3013" t="s">
        <v>3625</v>
      </c>
      <c r="G128" s="3013" t="s">
        <v>3532</v>
      </c>
      <c r="H128" s="3013" t="s">
        <v>3533</v>
      </c>
      <c r="I128" s="3013" t="s">
        <v>3534</v>
      </c>
      <c r="J128" s="3234"/>
    </row>
    <row r="129" spans="1:10">
      <c r="A129" s="3275"/>
      <c r="B129" s="3231" t="s">
        <v>3645</v>
      </c>
      <c r="C129" s="3245" t="s">
        <v>3646</v>
      </c>
      <c r="D129" s="3109" t="s">
        <v>3647</v>
      </c>
      <c r="E129" s="3109"/>
      <c r="F129" s="3109"/>
      <c r="G129" s="3109">
        <v>1562.45</v>
      </c>
      <c r="H129" s="3109"/>
      <c r="I129" s="3270">
        <v>14671.73</v>
      </c>
      <c r="J129" s="3109">
        <f t="shared" ref="J129:J134" si="3">SUM(E129:H129)</f>
        <v>1562.45</v>
      </c>
    </row>
    <row r="130" spans="1:10">
      <c r="A130" s="3275"/>
      <c r="B130" s="3231"/>
      <c r="C130" s="3245"/>
      <c r="D130" s="3109" t="s">
        <v>3648</v>
      </c>
      <c r="E130" s="3109"/>
      <c r="F130" s="3109"/>
      <c r="G130" s="3109">
        <v>4245.3599999999997</v>
      </c>
      <c r="H130" s="3109"/>
      <c r="I130" s="3239"/>
      <c r="J130" s="3109">
        <f t="shared" si="3"/>
        <v>4245.3599999999997</v>
      </c>
    </row>
    <row r="131" spans="1:10">
      <c r="A131" s="3275"/>
      <c r="B131" s="3231"/>
      <c r="C131" s="3245"/>
      <c r="D131" s="3109" t="s">
        <v>3649</v>
      </c>
      <c r="E131" s="3109"/>
      <c r="F131" s="3109"/>
      <c r="G131" s="3109">
        <v>5758.32</v>
      </c>
      <c r="H131" s="3109"/>
      <c r="I131" s="3239"/>
      <c r="J131" s="3109">
        <f t="shared" si="3"/>
        <v>5758.32</v>
      </c>
    </row>
    <row r="132" spans="1:10">
      <c r="A132" s="3275"/>
      <c r="B132" s="3231"/>
      <c r="C132" s="3245"/>
      <c r="D132" s="3109" t="s">
        <v>3650</v>
      </c>
      <c r="E132" s="3109"/>
      <c r="F132" s="3109"/>
      <c r="G132" s="3109">
        <v>1989.11</v>
      </c>
      <c r="H132" s="3109"/>
      <c r="I132" s="3239"/>
      <c r="J132" s="3109">
        <f t="shared" si="3"/>
        <v>1989.11</v>
      </c>
    </row>
    <row r="133" spans="1:10">
      <c r="A133" s="3275"/>
      <c r="B133" s="3231"/>
      <c r="C133" s="3245"/>
      <c r="D133" s="3109" t="s">
        <v>3651</v>
      </c>
      <c r="E133" s="3109"/>
      <c r="F133" s="3109"/>
      <c r="G133" s="3109">
        <v>16164.51</v>
      </c>
      <c r="H133" s="3109"/>
      <c r="I133" s="3240"/>
      <c r="J133" s="3109">
        <f t="shared" si="3"/>
        <v>16164.51</v>
      </c>
    </row>
    <row r="134" spans="1:10">
      <c r="A134" s="3275"/>
      <c r="B134" s="3231"/>
      <c r="C134" s="3245" t="s">
        <v>3652</v>
      </c>
      <c r="D134" s="3109" t="s">
        <v>3653</v>
      </c>
      <c r="E134" s="3109"/>
      <c r="F134" s="3109"/>
      <c r="G134" s="3027">
        <v>1124.9100000000001</v>
      </c>
      <c r="H134" s="3109"/>
      <c r="I134" s="3270">
        <v>20494.560000000001</v>
      </c>
      <c r="J134" s="3109">
        <f t="shared" si="3"/>
        <v>1124.9100000000001</v>
      </c>
    </row>
    <row r="135" spans="1:10">
      <c r="A135" s="3275"/>
      <c r="B135" s="3231"/>
      <c r="C135" s="3245"/>
      <c r="D135" s="3109" t="s">
        <v>3654</v>
      </c>
      <c r="E135" s="3109"/>
      <c r="F135" s="3109"/>
      <c r="G135" s="3027">
        <v>1060.22</v>
      </c>
      <c r="H135" s="3109"/>
      <c r="I135" s="3239"/>
      <c r="J135" s="3109">
        <f t="shared" ref="J135:J148" si="4">SUM(E135:H135)</f>
        <v>1060.22</v>
      </c>
    </row>
    <row r="136" spans="1:10">
      <c r="A136" s="3275"/>
      <c r="B136" s="3231"/>
      <c r="C136" s="3245"/>
      <c r="D136" s="3109" t="s">
        <v>3655</v>
      </c>
      <c r="E136" s="3109"/>
      <c r="F136" s="3109"/>
      <c r="G136" s="3027">
        <v>908.76</v>
      </c>
      <c r="H136" s="3109"/>
      <c r="I136" s="3239"/>
      <c r="J136" s="3109">
        <f t="shared" si="4"/>
        <v>908.76</v>
      </c>
    </row>
    <row r="137" spans="1:10">
      <c r="A137" s="3275"/>
      <c r="B137" s="3231"/>
      <c r="C137" s="3245"/>
      <c r="D137" s="3109" t="s">
        <v>3656</v>
      </c>
      <c r="E137" s="3109"/>
      <c r="F137" s="3109"/>
      <c r="G137" s="3027">
        <v>1211.68</v>
      </c>
      <c r="H137" s="3109"/>
      <c r="I137" s="3239"/>
      <c r="J137" s="3109">
        <f t="shared" si="4"/>
        <v>1211.68</v>
      </c>
    </row>
    <row r="138" spans="1:10">
      <c r="A138" s="3275"/>
      <c r="B138" s="3231"/>
      <c r="C138" s="3245"/>
      <c r="D138" s="3109" t="s">
        <v>3657</v>
      </c>
      <c r="E138" s="3109"/>
      <c r="F138" s="3109"/>
      <c r="G138" s="3027">
        <v>1060.22</v>
      </c>
      <c r="H138" s="3109"/>
      <c r="I138" s="3239"/>
      <c r="J138" s="3109">
        <f t="shared" si="4"/>
        <v>1060.22</v>
      </c>
    </row>
    <row r="139" spans="1:10">
      <c r="A139" s="3275"/>
      <c r="B139" s="3231"/>
      <c r="C139" s="3245"/>
      <c r="D139" s="3109" t="s">
        <v>3658</v>
      </c>
      <c r="E139" s="3109"/>
      <c r="F139" s="3109"/>
      <c r="G139" s="3027">
        <v>908.76</v>
      </c>
      <c r="H139" s="3109"/>
      <c r="I139" s="3239"/>
      <c r="J139" s="3109">
        <f t="shared" si="4"/>
        <v>908.76</v>
      </c>
    </row>
    <row r="140" spans="1:10">
      <c r="A140" s="3275"/>
      <c r="B140" s="3231"/>
      <c r="C140" s="3245"/>
      <c r="D140" s="3109" t="s">
        <v>3659</v>
      </c>
      <c r="E140" s="3109"/>
      <c r="F140" s="3109"/>
      <c r="G140" s="3027">
        <v>757.3</v>
      </c>
      <c r="H140" s="3109"/>
      <c r="I140" s="3239"/>
      <c r="J140" s="3109">
        <f t="shared" si="4"/>
        <v>757.3</v>
      </c>
    </row>
    <row r="141" spans="1:10">
      <c r="A141" s="3275"/>
      <c r="B141" s="3231"/>
      <c r="C141" s="3245"/>
      <c r="D141" s="3109" t="s">
        <v>3660</v>
      </c>
      <c r="E141" s="3109"/>
      <c r="F141" s="3109"/>
      <c r="G141" s="3027">
        <v>1124.9100000000001</v>
      </c>
      <c r="H141" s="3109"/>
      <c r="I141" s="3239"/>
      <c r="J141" s="3109">
        <f t="shared" si="4"/>
        <v>1124.9100000000001</v>
      </c>
    </row>
    <row r="142" spans="1:10">
      <c r="A142" s="3275"/>
      <c r="B142" s="3231"/>
      <c r="C142" s="3245"/>
      <c r="D142" s="3109" t="s">
        <v>3661</v>
      </c>
      <c r="E142" s="3109"/>
      <c r="F142" s="3109"/>
      <c r="G142" s="3027">
        <v>605.84</v>
      </c>
      <c r="H142" s="3109"/>
      <c r="I142" s="3239"/>
      <c r="J142" s="3109">
        <f t="shared" si="4"/>
        <v>605.84</v>
      </c>
    </row>
    <row r="143" spans="1:10">
      <c r="A143" s="3275"/>
      <c r="B143" s="3231"/>
      <c r="C143" s="3245"/>
      <c r="D143" s="3109" t="s">
        <v>3662</v>
      </c>
      <c r="E143" s="3109"/>
      <c r="F143" s="3109"/>
      <c r="G143" s="3027">
        <v>1363.14</v>
      </c>
      <c r="H143" s="3109"/>
      <c r="I143" s="3239"/>
      <c r="J143" s="3109">
        <f t="shared" si="4"/>
        <v>1363.14</v>
      </c>
    </row>
    <row r="144" spans="1:10">
      <c r="A144" s="3275"/>
      <c r="B144" s="3231"/>
      <c r="C144" s="3245"/>
      <c r="D144" s="3109" t="s">
        <v>3663</v>
      </c>
      <c r="E144" s="3109"/>
      <c r="F144" s="3109"/>
      <c r="G144" s="3027">
        <v>454.38</v>
      </c>
      <c r="H144" s="3109"/>
      <c r="I144" s="3239"/>
      <c r="J144" s="3109">
        <f t="shared" si="4"/>
        <v>454.38</v>
      </c>
    </row>
    <row r="145" spans="1:10">
      <c r="A145" s="3275"/>
      <c r="B145" s="3231"/>
      <c r="C145" s="3245"/>
      <c r="D145" s="3109" t="s">
        <v>3664</v>
      </c>
      <c r="E145" s="3109"/>
      <c r="F145" s="3109"/>
      <c r="G145" s="3027">
        <v>1124.9100000000001</v>
      </c>
      <c r="H145" s="3109"/>
      <c r="I145" s="3239"/>
      <c r="J145" s="3109">
        <f t="shared" si="4"/>
        <v>1124.9100000000001</v>
      </c>
    </row>
    <row r="146" spans="1:10">
      <c r="A146" s="3275"/>
      <c r="B146" s="3231"/>
      <c r="C146" s="3245"/>
      <c r="D146" s="3109" t="s">
        <v>3665</v>
      </c>
      <c r="E146" s="3109"/>
      <c r="F146" s="3109"/>
      <c r="G146" s="3027">
        <v>605.84</v>
      </c>
      <c r="H146" s="3109"/>
      <c r="I146" s="3239"/>
      <c r="J146" s="3109">
        <f t="shared" si="4"/>
        <v>605.84</v>
      </c>
    </row>
    <row r="147" spans="1:10">
      <c r="A147" s="3275"/>
      <c r="B147" s="3231"/>
      <c r="C147" s="3245"/>
      <c r="D147" s="3110" t="s">
        <v>3666</v>
      </c>
      <c r="E147" s="3109"/>
      <c r="F147" s="3109"/>
      <c r="G147" s="3027">
        <v>757.3</v>
      </c>
      <c r="H147" s="3109"/>
      <c r="I147" s="3239"/>
      <c r="J147" s="3109">
        <f t="shared" si="4"/>
        <v>757.3</v>
      </c>
    </row>
    <row r="148" spans="1:10">
      <c r="A148" s="3275"/>
      <c r="B148" s="3231"/>
      <c r="C148" s="3245"/>
      <c r="D148" s="3109" t="s">
        <v>3667</v>
      </c>
      <c r="E148" s="3109"/>
      <c r="F148" s="3109"/>
      <c r="G148" s="3027">
        <v>939.32</v>
      </c>
      <c r="H148" s="3109"/>
      <c r="I148" s="3240"/>
      <c r="J148" s="3109">
        <f t="shared" si="4"/>
        <v>939.32</v>
      </c>
    </row>
    <row r="149" spans="1:10">
      <c r="A149" s="3275"/>
      <c r="B149" s="3231"/>
      <c r="C149" s="3231" t="s">
        <v>40</v>
      </c>
      <c r="D149" s="3231"/>
      <c r="E149" s="3106">
        <f>SUM(E129:E148)</f>
        <v>0</v>
      </c>
      <c r="F149" s="3106">
        <f>SUM(F129:F148)</f>
        <v>0</v>
      </c>
      <c r="G149" s="3106">
        <f>SUM(G129:G148)</f>
        <v>43727.240000000005</v>
      </c>
      <c r="H149" s="3106">
        <f>SUM(H129:H148)</f>
        <v>0</v>
      </c>
      <c r="I149" s="3228">
        <f>SUM(I129:I148)</f>
        <v>35166.29</v>
      </c>
      <c r="J149" s="3228">
        <f>E151+I149</f>
        <v>78893.53</v>
      </c>
    </row>
    <row r="150" spans="1:10">
      <c r="A150" s="3275"/>
      <c r="B150" s="3231"/>
      <c r="C150" s="3231"/>
      <c r="D150" s="3231"/>
      <c r="E150" s="3231">
        <f>SUM(E149:G149)</f>
        <v>43727.240000000005</v>
      </c>
      <c r="F150" s="3231"/>
      <c r="G150" s="3231"/>
      <c r="H150" s="3106">
        <f>H149</f>
        <v>0</v>
      </c>
      <c r="I150" s="3229"/>
      <c r="J150" s="3229"/>
    </row>
    <row r="151" spans="1:10">
      <c r="A151" s="3275"/>
      <c r="B151" s="3231"/>
      <c r="C151" s="3231"/>
      <c r="D151" s="3231"/>
      <c r="E151" s="3231">
        <f>SUM(E150:H150)</f>
        <v>43727.240000000005</v>
      </c>
      <c r="F151" s="3231"/>
      <c r="G151" s="3231"/>
      <c r="H151" s="3231"/>
      <c r="I151" s="3230"/>
      <c r="J151" s="3230"/>
    </row>
    <row r="152" spans="1:10">
      <c r="A152" s="3275"/>
      <c r="B152" s="3245" t="s">
        <v>3529</v>
      </c>
      <c r="C152" s="3245"/>
      <c r="D152" s="3245"/>
      <c r="E152" s="3016" t="s">
        <v>3530</v>
      </c>
      <c r="F152" s="3016" t="s">
        <v>3625</v>
      </c>
      <c r="G152" s="3016" t="s">
        <v>3532</v>
      </c>
      <c r="H152" s="3016" t="s">
        <v>3533</v>
      </c>
      <c r="I152" s="3016" t="s">
        <v>3534</v>
      </c>
      <c r="J152" s="3016" t="s">
        <v>37</v>
      </c>
    </row>
    <row r="153" spans="1:10">
      <c r="A153" s="3275"/>
      <c r="B153" s="3267" t="s">
        <v>3668</v>
      </c>
      <c r="C153" s="3245" t="s">
        <v>3669</v>
      </c>
      <c r="D153" s="3026" t="s">
        <v>3670</v>
      </c>
      <c r="E153" s="3016"/>
      <c r="F153" s="3016">
        <v>3478</v>
      </c>
      <c r="G153" s="3016"/>
      <c r="H153" s="3016"/>
      <c r="I153" s="3238">
        <v>45113.95</v>
      </c>
      <c r="J153" s="3016">
        <f>SUM(E153:H153)</f>
        <v>3478</v>
      </c>
    </row>
    <row r="154" spans="1:10">
      <c r="A154" s="3275"/>
      <c r="B154" s="3267"/>
      <c r="C154" s="3245"/>
      <c r="D154" s="3026" t="s">
        <v>3671</v>
      </c>
      <c r="E154" s="3016"/>
      <c r="F154" s="3016">
        <v>3478</v>
      </c>
      <c r="G154" s="3016"/>
      <c r="H154" s="3016"/>
      <c r="I154" s="3268"/>
      <c r="J154" s="3016">
        <f t="shared" ref="J154:J175" si="5">SUM(E154:H154)</f>
        <v>3478</v>
      </c>
    </row>
    <row r="155" spans="1:10">
      <c r="A155" s="3275"/>
      <c r="B155" s="3267"/>
      <c r="C155" s="3245"/>
      <c r="D155" s="3026" t="s">
        <v>3672</v>
      </c>
      <c r="E155" s="3016"/>
      <c r="F155" s="3016">
        <v>3478</v>
      </c>
      <c r="G155" s="3016"/>
      <c r="H155" s="3016"/>
      <c r="I155" s="3268"/>
      <c r="J155" s="3016">
        <f t="shared" si="5"/>
        <v>3478</v>
      </c>
    </row>
    <row r="156" spans="1:10">
      <c r="A156" s="3275"/>
      <c r="B156" s="3267"/>
      <c r="C156" s="3245"/>
      <c r="D156" s="3026" t="s">
        <v>3673</v>
      </c>
      <c r="E156" s="3016"/>
      <c r="F156" s="3016">
        <v>3478</v>
      </c>
      <c r="G156" s="3016"/>
      <c r="H156" s="3016"/>
      <c r="I156" s="3268"/>
      <c r="J156" s="3016">
        <f t="shared" si="5"/>
        <v>3478</v>
      </c>
    </row>
    <row r="157" spans="1:10">
      <c r="A157" s="3275"/>
      <c r="B157" s="3267"/>
      <c r="C157" s="3245"/>
      <c r="D157" s="3016" t="s">
        <v>3674</v>
      </c>
      <c r="E157" s="3016"/>
      <c r="F157" s="3016">
        <v>1997.92</v>
      </c>
      <c r="G157" s="3016"/>
      <c r="H157" s="3016"/>
      <c r="I157" s="3268"/>
      <c r="J157" s="3016">
        <f t="shared" si="5"/>
        <v>1997.92</v>
      </c>
    </row>
    <row r="158" spans="1:10">
      <c r="A158" s="3275"/>
      <c r="B158" s="3267"/>
      <c r="C158" s="3245"/>
      <c r="D158" s="3026" t="s">
        <v>3675</v>
      </c>
      <c r="E158" s="3016"/>
      <c r="F158" s="3016">
        <v>2328.8000000000002</v>
      </c>
      <c r="G158" s="3016"/>
      <c r="H158" s="3016"/>
      <c r="I158" s="3268"/>
      <c r="J158" s="3016">
        <f t="shared" si="5"/>
        <v>2328.8000000000002</v>
      </c>
    </row>
    <row r="159" spans="1:10">
      <c r="A159" s="3275"/>
      <c r="B159" s="3267"/>
      <c r="C159" s="3245"/>
      <c r="D159" s="3026" t="s">
        <v>3676</v>
      </c>
      <c r="E159" s="3016"/>
      <c r="F159" s="3016">
        <v>2328.8000000000002</v>
      </c>
      <c r="G159" s="3016"/>
      <c r="H159" s="3016"/>
      <c r="I159" s="3268"/>
      <c r="J159" s="3016">
        <f t="shared" si="5"/>
        <v>2328.8000000000002</v>
      </c>
    </row>
    <row r="160" spans="1:10">
      <c r="A160" s="3275"/>
      <c r="B160" s="3267"/>
      <c r="C160" s="3245"/>
      <c r="D160" s="3028" t="s">
        <v>3677</v>
      </c>
      <c r="E160" s="3016"/>
      <c r="F160" s="3016">
        <v>2328.8000000000002</v>
      </c>
      <c r="G160" s="3016"/>
      <c r="H160" s="3016"/>
      <c r="I160" s="3268"/>
      <c r="J160" s="3016">
        <f t="shared" si="5"/>
        <v>2328.8000000000002</v>
      </c>
    </row>
    <row r="161" spans="1:10">
      <c r="A161" s="3275"/>
      <c r="B161" s="3267"/>
      <c r="C161" s="3245"/>
      <c r="D161" s="3026" t="s">
        <v>3678</v>
      </c>
      <c r="E161" s="3016"/>
      <c r="F161" s="3016">
        <v>2328.8000000000002</v>
      </c>
      <c r="G161" s="3016"/>
      <c r="H161" s="3016"/>
      <c r="I161" s="3268"/>
      <c r="J161" s="3016">
        <f t="shared" si="5"/>
        <v>2328.8000000000002</v>
      </c>
    </row>
    <row r="162" spans="1:10">
      <c r="A162" s="3275"/>
      <c r="B162" s="3267"/>
      <c r="C162" s="3245"/>
      <c r="D162" s="3029" t="s">
        <v>3679</v>
      </c>
      <c r="E162" s="3029"/>
      <c r="F162" s="3029"/>
      <c r="G162" s="3029">
        <v>102.16</v>
      </c>
      <c r="H162" s="3030">
        <f>749.34-G162</f>
        <v>647.18000000000006</v>
      </c>
      <c r="I162" s="3268"/>
      <c r="J162" s="3016">
        <f t="shared" si="5"/>
        <v>749.34</v>
      </c>
    </row>
    <row r="163" spans="1:10">
      <c r="A163" s="3275"/>
      <c r="B163" s="3267"/>
      <c r="C163" s="3245"/>
      <c r="D163" s="3016" t="s">
        <v>3680</v>
      </c>
      <c r="E163" s="3016"/>
      <c r="F163" s="3016">
        <v>2250.12</v>
      </c>
      <c r="G163" s="3016"/>
      <c r="H163" s="3016"/>
      <c r="I163" s="3268"/>
      <c r="J163" s="3016">
        <f t="shared" si="5"/>
        <v>2250.12</v>
      </c>
    </row>
    <row r="164" spans="1:10">
      <c r="A164" s="3275"/>
      <c r="B164" s="3267"/>
      <c r="C164" s="3245"/>
      <c r="D164" s="3016" t="s">
        <v>3681</v>
      </c>
      <c r="E164" s="3016"/>
      <c r="F164" s="3016">
        <v>3478</v>
      </c>
      <c r="G164" s="3016"/>
      <c r="H164" s="3016"/>
      <c r="I164" s="3268"/>
      <c r="J164" s="3016">
        <f t="shared" si="5"/>
        <v>3478</v>
      </c>
    </row>
    <row r="165" spans="1:10">
      <c r="A165" s="3275"/>
      <c r="B165" s="3267"/>
      <c r="C165" s="3245"/>
      <c r="D165" s="3016" t="s">
        <v>3682</v>
      </c>
      <c r="E165" s="3016"/>
      <c r="F165" s="3016">
        <v>1747.26</v>
      </c>
      <c r="G165" s="3016"/>
      <c r="H165" s="3016"/>
      <c r="I165" s="3268"/>
      <c r="J165" s="3016">
        <f t="shared" si="5"/>
        <v>1747.26</v>
      </c>
    </row>
    <row r="166" spans="1:10">
      <c r="A166" s="3275"/>
      <c r="B166" s="3267"/>
      <c r="C166" s="3245"/>
      <c r="D166" s="3026" t="s">
        <v>3683</v>
      </c>
      <c r="E166" s="3016"/>
      <c r="F166" s="3016">
        <v>1747.26</v>
      </c>
      <c r="G166" s="3016"/>
      <c r="H166" s="3016"/>
      <c r="I166" s="3268"/>
      <c r="J166" s="3016">
        <f t="shared" si="5"/>
        <v>1747.26</v>
      </c>
    </row>
    <row r="167" spans="1:10">
      <c r="A167" s="3275"/>
      <c r="B167" s="3267"/>
      <c r="C167" s="3245"/>
      <c r="D167" s="3016" t="s">
        <v>3684</v>
      </c>
      <c r="E167" s="3016"/>
      <c r="F167" s="3016">
        <v>1747.26</v>
      </c>
      <c r="G167" s="3016"/>
      <c r="H167" s="3016"/>
      <c r="I167" s="3268"/>
      <c r="J167" s="3016">
        <f t="shared" si="5"/>
        <v>1747.26</v>
      </c>
    </row>
    <row r="168" spans="1:10">
      <c r="A168" s="3275"/>
      <c r="B168" s="3267"/>
      <c r="C168" s="3245"/>
      <c r="D168" s="3026" t="s">
        <v>3685</v>
      </c>
      <c r="E168" s="3016"/>
      <c r="F168" s="3016">
        <v>3478</v>
      </c>
      <c r="G168" s="3016"/>
      <c r="H168" s="3016"/>
      <c r="I168" s="3268"/>
      <c r="J168" s="3016">
        <f t="shared" si="5"/>
        <v>3478</v>
      </c>
    </row>
    <row r="169" spans="1:10">
      <c r="A169" s="3275"/>
      <c r="B169" s="3267"/>
      <c r="C169" s="3245"/>
      <c r="D169" s="3026" t="s">
        <v>3686</v>
      </c>
      <c r="E169" s="3016"/>
      <c r="F169" s="3016">
        <v>1747.26</v>
      </c>
      <c r="G169" s="3016"/>
      <c r="H169" s="3016"/>
      <c r="I169" s="3268"/>
      <c r="J169" s="3016">
        <f t="shared" si="5"/>
        <v>1747.26</v>
      </c>
    </row>
    <row r="170" spans="1:10">
      <c r="A170" s="3275"/>
      <c r="B170" s="3267"/>
      <c r="C170" s="3245"/>
      <c r="D170" s="3026" t="s">
        <v>3687</v>
      </c>
      <c r="E170" s="3016"/>
      <c r="F170" s="3016">
        <v>1747.26</v>
      </c>
      <c r="G170" s="3016"/>
      <c r="H170" s="3016"/>
      <c r="I170" s="3269"/>
      <c r="J170" s="3016">
        <f t="shared" si="5"/>
        <v>1747.26</v>
      </c>
    </row>
    <row r="171" spans="1:10">
      <c r="A171" s="3275"/>
      <c r="B171" s="3267"/>
      <c r="C171" s="3245" t="s">
        <v>3688</v>
      </c>
      <c r="D171" s="3016" t="s">
        <v>3689</v>
      </c>
      <c r="E171" s="3016"/>
      <c r="F171" s="3016">
        <v>1116.94</v>
      </c>
      <c r="G171" s="3016"/>
      <c r="H171" s="3016"/>
      <c r="I171" s="3270">
        <v>9869</v>
      </c>
      <c r="J171" s="3016">
        <f t="shared" si="5"/>
        <v>1116.94</v>
      </c>
    </row>
    <row r="172" spans="1:10">
      <c r="A172" s="3275"/>
      <c r="B172" s="3267"/>
      <c r="C172" s="3245"/>
      <c r="D172" s="3016" t="s">
        <v>3690</v>
      </c>
      <c r="E172" s="3016"/>
      <c r="F172" s="3016">
        <v>2984.64</v>
      </c>
      <c r="G172" s="3016"/>
      <c r="H172" s="3016"/>
      <c r="I172" s="3239"/>
      <c r="J172" s="3016">
        <f t="shared" si="5"/>
        <v>2984.64</v>
      </c>
    </row>
    <row r="173" spans="1:10">
      <c r="A173" s="3275"/>
      <c r="B173" s="3267"/>
      <c r="C173" s="3245"/>
      <c r="D173" s="3016" t="s">
        <v>3691</v>
      </c>
      <c r="E173" s="3016"/>
      <c r="F173" s="3016">
        <v>1747.26</v>
      </c>
      <c r="G173" s="3016"/>
      <c r="H173" s="3016"/>
      <c r="I173" s="3239"/>
      <c r="J173" s="3016">
        <f t="shared" si="5"/>
        <v>1747.26</v>
      </c>
    </row>
    <row r="174" spans="1:10">
      <c r="A174" s="3275"/>
      <c r="B174" s="3267"/>
      <c r="C174" s="3245"/>
      <c r="D174" s="3016" t="s">
        <v>3692</v>
      </c>
      <c r="E174" s="3016"/>
      <c r="F174" s="3016">
        <v>1747.26</v>
      </c>
      <c r="G174" s="3016"/>
      <c r="H174" s="3016"/>
      <c r="I174" s="3239"/>
      <c r="J174" s="3016">
        <f t="shared" si="5"/>
        <v>1747.26</v>
      </c>
    </row>
    <row r="175" spans="1:10">
      <c r="A175" s="3275"/>
      <c r="B175" s="3267"/>
      <c r="C175" s="3245"/>
      <c r="D175" s="3016" t="s">
        <v>3693</v>
      </c>
      <c r="E175" s="3016"/>
      <c r="F175" s="3016">
        <v>426.69</v>
      </c>
      <c r="G175" s="3016"/>
      <c r="H175" s="3016"/>
      <c r="I175" s="3240"/>
      <c r="J175" s="3016">
        <f t="shared" si="5"/>
        <v>426.69</v>
      </c>
    </row>
    <row r="176" spans="1:10">
      <c r="A176" s="3275"/>
      <c r="B176" s="3267"/>
      <c r="C176" s="3267" t="s">
        <v>40</v>
      </c>
      <c r="D176" s="3267"/>
      <c r="E176" s="3031">
        <f>SUM(E153:E175)</f>
        <v>0</v>
      </c>
      <c r="F176" s="3031">
        <f>SUM(F153:F175)</f>
        <v>51190.330000000009</v>
      </c>
      <c r="G176" s="3031">
        <f>SUM(G153:G175)</f>
        <v>102.16</v>
      </c>
      <c r="H176" s="3031">
        <f>SUM(H153:H175)</f>
        <v>647.18000000000006</v>
      </c>
      <c r="I176" s="3271">
        <f>SUM(I153:I175)</f>
        <v>54982.95</v>
      </c>
      <c r="J176" s="3271">
        <f>E178+I176</f>
        <v>106922.62000000001</v>
      </c>
    </row>
    <row r="177" spans="1:10">
      <c r="A177" s="3275"/>
      <c r="B177" s="3267"/>
      <c r="C177" s="3267"/>
      <c r="D177" s="3267"/>
      <c r="E177" s="3267">
        <f>SUM(E176:G176)</f>
        <v>51292.490000000013</v>
      </c>
      <c r="F177" s="3267"/>
      <c r="G177" s="3267"/>
      <c r="H177" s="3031">
        <f>H176</f>
        <v>647.18000000000006</v>
      </c>
      <c r="I177" s="3272"/>
      <c r="J177" s="3272"/>
    </row>
    <row r="178" spans="1:10">
      <c r="A178" s="3275"/>
      <c r="B178" s="3267"/>
      <c r="C178" s="3267"/>
      <c r="D178" s="3267"/>
      <c r="E178" s="3267">
        <f>SUM(E177:H177)</f>
        <v>51939.670000000013</v>
      </c>
      <c r="F178" s="3267"/>
      <c r="G178" s="3267"/>
      <c r="H178" s="3267"/>
      <c r="I178" s="3273"/>
      <c r="J178" s="3273"/>
    </row>
    <row r="179" spans="1:10">
      <c r="A179" s="3275"/>
      <c r="B179" s="3245" t="s">
        <v>3529</v>
      </c>
      <c r="C179" s="3245"/>
      <c r="D179" s="3245"/>
      <c r="E179" s="3016" t="s">
        <v>3530</v>
      </c>
      <c r="F179" s="3016" t="s">
        <v>3625</v>
      </c>
      <c r="G179" s="3016" t="s">
        <v>3532</v>
      </c>
      <c r="H179" s="3016" t="s">
        <v>3533</v>
      </c>
      <c r="I179" s="3016" t="s">
        <v>3534</v>
      </c>
      <c r="J179" s="3016" t="s">
        <v>37</v>
      </c>
    </row>
    <row r="180" spans="1:10">
      <c r="A180" s="3275"/>
      <c r="B180" s="3284" t="s">
        <v>3694</v>
      </c>
      <c r="C180" s="3245" t="s">
        <v>3669</v>
      </c>
      <c r="D180" s="3026" t="s">
        <v>3695</v>
      </c>
      <c r="E180" s="3016"/>
      <c r="F180" s="3016">
        <v>3478</v>
      </c>
      <c r="G180" s="3016"/>
      <c r="H180" s="3016"/>
      <c r="I180" s="3270">
        <v>11579.82</v>
      </c>
      <c r="J180" s="3016">
        <f>SUM(E180:H180)</f>
        <v>3478</v>
      </c>
    </row>
    <row r="181" spans="1:10">
      <c r="A181" s="3275"/>
      <c r="B181" s="3284"/>
      <c r="C181" s="3245"/>
      <c r="D181" s="3016" t="s">
        <v>3696</v>
      </c>
      <c r="E181" s="3016"/>
      <c r="F181" s="3016">
        <v>1747.26</v>
      </c>
      <c r="G181" s="3016"/>
      <c r="H181" s="3016"/>
      <c r="I181" s="3239"/>
      <c r="J181" s="3016">
        <f t="shared" ref="J181:J194" si="6">SUM(E181:H181)</f>
        <v>1747.26</v>
      </c>
    </row>
    <row r="182" spans="1:10">
      <c r="A182" s="3275"/>
      <c r="B182" s="3284"/>
      <c r="C182" s="3245"/>
      <c r="D182" s="3026" t="s">
        <v>3697</v>
      </c>
      <c r="E182" s="3016"/>
      <c r="F182" s="3016">
        <v>1455.98</v>
      </c>
      <c r="G182" s="3016"/>
      <c r="H182" s="3016"/>
      <c r="I182" s="3239"/>
      <c r="J182" s="3016">
        <f t="shared" si="6"/>
        <v>1455.98</v>
      </c>
    </row>
    <row r="183" spans="1:10">
      <c r="A183" s="3275"/>
      <c r="B183" s="3284"/>
      <c r="C183" s="3245"/>
      <c r="D183" s="3026" t="s">
        <v>3698</v>
      </c>
      <c r="E183" s="3016"/>
      <c r="F183" s="3016">
        <v>1455.98</v>
      </c>
      <c r="G183" s="3016"/>
      <c r="H183" s="3016"/>
      <c r="I183" s="3240"/>
      <c r="J183" s="3016">
        <f t="shared" si="6"/>
        <v>1455.98</v>
      </c>
    </row>
    <row r="184" spans="1:10">
      <c r="A184" s="3275"/>
      <c r="B184" s="3284"/>
      <c r="C184" s="3245" t="s">
        <v>3699</v>
      </c>
      <c r="D184" s="3029" t="s">
        <v>3700</v>
      </c>
      <c r="E184" s="3029"/>
      <c r="F184" s="3029"/>
      <c r="G184" s="3032">
        <v>3493.51</v>
      </c>
      <c r="H184" s="3029"/>
      <c r="I184" s="3270">
        <v>19285.32</v>
      </c>
      <c r="J184" s="3033">
        <f>H184+G184+F184+E184</f>
        <v>3493.51</v>
      </c>
    </row>
    <row r="185" spans="1:10">
      <c r="A185" s="3275"/>
      <c r="B185" s="3284"/>
      <c r="C185" s="3245"/>
      <c r="D185" s="3034" t="s">
        <v>3701</v>
      </c>
      <c r="E185" s="3029">
        <v>19716.215</v>
      </c>
      <c r="F185" s="3029"/>
      <c r="G185" s="3029">
        <v>909.9</v>
      </c>
      <c r="H185" s="3030">
        <v>1325.66</v>
      </c>
      <c r="I185" s="3239"/>
      <c r="J185" s="3015">
        <f>H185+G185+F185+E185</f>
        <v>21951.775000000001</v>
      </c>
    </row>
    <row r="186" spans="1:10">
      <c r="A186" s="3275"/>
      <c r="B186" s="3284"/>
      <c r="C186" s="3245"/>
      <c r="D186" s="3034" t="s">
        <v>3702</v>
      </c>
      <c r="E186" s="3029">
        <v>19716.215</v>
      </c>
      <c r="F186" s="3029"/>
      <c r="G186" s="3029">
        <f>2720.26-H186</f>
        <v>1388.1400000000003</v>
      </c>
      <c r="H186" s="3030">
        <v>1332.12</v>
      </c>
      <c r="I186" s="3239"/>
      <c r="J186" s="3016">
        <f>H186+G186+F186+E186</f>
        <v>22436.474999999999</v>
      </c>
    </row>
    <row r="187" spans="1:10">
      <c r="A187" s="3275"/>
      <c r="B187" s="3284"/>
      <c r="C187" s="3245"/>
      <c r="D187" s="3034" t="s">
        <v>3703</v>
      </c>
      <c r="E187" s="3029">
        <v>20422.154999999999</v>
      </c>
      <c r="F187" s="3029"/>
      <c r="G187" s="3029">
        <v>715.79</v>
      </c>
      <c r="H187" s="3030">
        <v>741.85</v>
      </c>
      <c r="I187" s="3240"/>
      <c r="J187" s="3016">
        <f>H187+G187+F187+E187</f>
        <v>21879.794999999998</v>
      </c>
    </row>
    <row r="188" spans="1:10">
      <c r="A188" s="3275"/>
      <c r="B188" s="3284"/>
      <c r="C188" s="3245" t="s">
        <v>3688</v>
      </c>
      <c r="D188" s="3016" t="s">
        <v>3704</v>
      </c>
      <c r="E188" s="3016"/>
      <c r="F188" s="3016">
        <v>1747.26</v>
      </c>
      <c r="G188" s="3016"/>
      <c r="H188" s="3016"/>
      <c r="I188" s="3270">
        <v>12549.26</v>
      </c>
      <c r="J188" s="3016">
        <f t="shared" si="6"/>
        <v>1747.26</v>
      </c>
    </row>
    <row r="189" spans="1:10">
      <c r="A189" s="3275"/>
      <c r="B189" s="3284"/>
      <c r="C189" s="3245"/>
      <c r="D189" s="3016" t="s">
        <v>3705</v>
      </c>
      <c r="E189" s="3016"/>
      <c r="F189" s="3016">
        <v>1747.26</v>
      </c>
      <c r="G189" s="3016"/>
      <c r="H189" s="3016"/>
      <c r="I189" s="3239"/>
      <c r="J189" s="3016">
        <f t="shared" si="6"/>
        <v>1747.26</v>
      </c>
    </row>
    <row r="190" spans="1:10">
      <c r="A190" s="3275"/>
      <c r="B190" s="3284"/>
      <c r="C190" s="3245"/>
      <c r="D190" s="3016" t="s">
        <v>3706</v>
      </c>
      <c r="E190" s="3016"/>
      <c r="F190" s="3016">
        <v>1747.26</v>
      </c>
      <c r="G190" s="3016"/>
      <c r="H190" s="3016"/>
      <c r="I190" s="3239"/>
      <c r="J190" s="3016">
        <f t="shared" si="6"/>
        <v>1747.26</v>
      </c>
    </row>
    <row r="191" spans="1:10">
      <c r="A191" s="3275"/>
      <c r="B191" s="3284"/>
      <c r="C191" s="3245"/>
      <c r="D191" s="3016" t="s">
        <v>3707</v>
      </c>
      <c r="E191" s="3016"/>
      <c r="F191" s="3016">
        <v>1747.26</v>
      </c>
      <c r="G191" s="3016"/>
      <c r="H191" s="3016"/>
      <c r="I191" s="3239"/>
      <c r="J191" s="3016">
        <f t="shared" si="6"/>
        <v>1747.26</v>
      </c>
    </row>
    <row r="192" spans="1:10">
      <c r="A192" s="3275"/>
      <c r="B192" s="3284"/>
      <c r="C192" s="3245"/>
      <c r="D192" s="3016" t="s">
        <v>3708</v>
      </c>
      <c r="E192" s="3016"/>
      <c r="F192" s="3016">
        <v>2491.2800000000002</v>
      </c>
      <c r="G192" s="3016"/>
      <c r="H192" s="3016"/>
      <c r="I192" s="3239"/>
      <c r="J192" s="3016">
        <f t="shared" si="6"/>
        <v>2491.2800000000002</v>
      </c>
    </row>
    <row r="193" spans="1:10">
      <c r="A193" s="3275"/>
      <c r="B193" s="3284"/>
      <c r="C193" s="3245"/>
      <c r="D193" s="3029" t="s">
        <v>3709</v>
      </c>
      <c r="E193" s="3029"/>
      <c r="F193" s="3029"/>
      <c r="G193" s="3035">
        <v>2689.35</v>
      </c>
      <c r="H193" s="3029"/>
      <c r="I193" s="3239"/>
      <c r="J193" s="3016">
        <f t="shared" si="6"/>
        <v>2689.35</v>
      </c>
    </row>
    <row r="194" spans="1:10">
      <c r="A194" s="3275"/>
      <c r="B194" s="3284"/>
      <c r="C194" s="3245"/>
      <c r="D194" s="3016" t="s">
        <v>3710</v>
      </c>
      <c r="E194" s="3016"/>
      <c r="F194" s="3140">
        <v>2342.4760000000001</v>
      </c>
      <c r="G194" s="3016"/>
      <c r="H194" s="3016"/>
      <c r="I194" s="3240"/>
      <c r="J194" s="3016">
        <f t="shared" si="6"/>
        <v>2342.4760000000001</v>
      </c>
    </row>
    <row r="195" spans="1:10">
      <c r="A195" s="3275"/>
      <c r="B195" s="3284"/>
      <c r="C195" s="3284" t="s">
        <v>40</v>
      </c>
      <c r="D195" s="3284"/>
      <c r="E195" s="3036">
        <f>SUM(E180:E194)</f>
        <v>59854.584999999999</v>
      </c>
      <c r="F195" s="3036">
        <f>SUM(F180:F194)</f>
        <v>19960.016</v>
      </c>
      <c r="G195" s="3036">
        <f>SUM(G180:G194)</f>
        <v>9196.69</v>
      </c>
      <c r="H195" s="3036">
        <f>SUM(H180:H194)</f>
        <v>3399.6299999999997</v>
      </c>
      <c r="I195" s="3285">
        <f>SUM(I180:I194)</f>
        <v>43414.400000000001</v>
      </c>
      <c r="J195" s="3285">
        <f>E197+I195</f>
        <v>135825.321</v>
      </c>
    </row>
    <row r="196" spans="1:10">
      <c r="A196" s="3275"/>
      <c r="B196" s="3284"/>
      <c r="C196" s="3284"/>
      <c r="D196" s="3284"/>
      <c r="E196" s="3284">
        <f>SUM(E195:G195)</f>
        <v>89011.290999999997</v>
      </c>
      <c r="F196" s="3284"/>
      <c r="G196" s="3284"/>
      <c r="H196" s="3036">
        <f>H195</f>
        <v>3399.6299999999997</v>
      </c>
      <c r="I196" s="3286"/>
      <c r="J196" s="3286"/>
    </row>
    <row r="197" spans="1:10">
      <c r="A197" s="3275"/>
      <c r="B197" s="3284"/>
      <c r="C197" s="3284"/>
      <c r="D197" s="3284"/>
      <c r="E197" s="3284">
        <f>SUM(E196:H196)</f>
        <v>92410.921000000002</v>
      </c>
      <c r="F197" s="3284"/>
      <c r="G197" s="3284"/>
      <c r="H197" s="3284"/>
      <c r="I197" s="3287"/>
      <c r="J197" s="3287"/>
    </row>
    <row r="198" spans="1:10">
      <c r="A198" s="3275"/>
      <c r="B198" s="3245" t="s">
        <v>3529</v>
      </c>
      <c r="C198" s="3245"/>
      <c r="D198" s="3245"/>
      <c r="E198" s="3016" t="s">
        <v>3530</v>
      </c>
      <c r="F198" s="3016" t="s">
        <v>3625</v>
      </c>
      <c r="G198" s="3016" t="s">
        <v>3532</v>
      </c>
      <c r="H198" s="3016" t="s">
        <v>3533</v>
      </c>
      <c r="I198" s="3016" t="s">
        <v>3534</v>
      </c>
      <c r="J198" s="3016" t="s">
        <v>37</v>
      </c>
    </row>
    <row r="199" spans="1:10">
      <c r="A199" s="3275"/>
      <c r="B199" s="3246" t="s">
        <v>3711</v>
      </c>
      <c r="C199" s="3245" t="s">
        <v>3669</v>
      </c>
      <c r="D199" s="3026" t="s">
        <v>3712</v>
      </c>
      <c r="E199" s="3016"/>
      <c r="F199" s="3016">
        <v>3478</v>
      </c>
      <c r="G199" s="3016"/>
      <c r="H199" s="3016"/>
      <c r="I199" s="3270">
        <v>28246.080000000002</v>
      </c>
      <c r="J199" s="3016">
        <f>SUM(E199:H199)</f>
        <v>3478</v>
      </c>
    </row>
    <row r="200" spans="1:10">
      <c r="A200" s="3275"/>
      <c r="B200" s="3246"/>
      <c r="C200" s="3245"/>
      <c r="D200" s="3026" t="s">
        <v>3713</v>
      </c>
      <c r="E200" s="3016"/>
      <c r="F200" s="3016">
        <v>3109.74</v>
      </c>
      <c r="G200" s="3016"/>
      <c r="H200" s="3016"/>
      <c r="I200" s="3239"/>
      <c r="J200" s="3016">
        <f t="shared" ref="J200:J220" si="7">SUM(E200:H200)</f>
        <v>3109.74</v>
      </c>
    </row>
    <row r="201" spans="1:10">
      <c r="A201" s="3275"/>
      <c r="B201" s="3246"/>
      <c r="C201" s="3245"/>
      <c r="D201" s="3026" t="s">
        <v>3714</v>
      </c>
      <c r="E201" s="3016"/>
      <c r="F201" s="3016">
        <v>1747.26</v>
      </c>
      <c r="G201" s="3016"/>
      <c r="H201" s="3016"/>
      <c r="I201" s="3239"/>
      <c r="J201" s="3016">
        <f t="shared" si="7"/>
        <v>1747.26</v>
      </c>
    </row>
    <row r="202" spans="1:10">
      <c r="A202" s="3275"/>
      <c r="B202" s="3246"/>
      <c r="C202" s="3245"/>
      <c r="D202" s="3026" t="s">
        <v>3715</v>
      </c>
      <c r="E202" s="3016"/>
      <c r="F202" s="3016">
        <v>1747.26</v>
      </c>
      <c r="G202" s="3016"/>
      <c r="H202" s="3016"/>
      <c r="I202" s="3239"/>
      <c r="J202" s="3016">
        <f t="shared" si="7"/>
        <v>1747.26</v>
      </c>
    </row>
    <row r="203" spans="1:10">
      <c r="A203" s="3275"/>
      <c r="B203" s="3246"/>
      <c r="C203" s="3245"/>
      <c r="D203" s="3016" t="s">
        <v>3716</v>
      </c>
      <c r="E203" s="3016"/>
      <c r="F203" s="3016">
        <v>2498.3200000000002</v>
      </c>
      <c r="G203" s="3016"/>
      <c r="H203" s="3016"/>
      <c r="I203" s="3239"/>
      <c r="J203" s="3016">
        <f t="shared" si="7"/>
        <v>2498.3200000000002</v>
      </c>
    </row>
    <row r="204" spans="1:10">
      <c r="A204" s="3275"/>
      <c r="B204" s="3246"/>
      <c r="C204" s="3245"/>
      <c r="D204" s="3016" t="s">
        <v>3717</v>
      </c>
      <c r="E204" s="3016"/>
      <c r="F204" s="3016">
        <v>1747.26</v>
      </c>
      <c r="G204" s="3016"/>
      <c r="H204" s="3016"/>
      <c r="I204" s="3239"/>
      <c r="J204" s="3016">
        <f t="shared" si="7"/>
        <v>1747.26</v>
      </c>
    </row>
    <row r="205" spans="1:10">
      <c r="A205" s="3275"/>
      <c r="B205" s="3246"/>
      <c r="C205" s="3245"/>
      <c r="D205" s="3016" t="s">
        <v>3718</v>
      </c>
      <c r="E205" s="3016"/>
      <c r="F205" s="3016">
        <v>1747.26</v>
      </c>
      <c r="G205" s="3016"/>
      <c r="H205" s="3016"/>
      <c r="I205" s="3239"/>
      <c r="J205" s="3016">
        <f t="shared" si="7"/>
        <v>1747.26</v>
      </c>
    </row>
    <row r="206" spans="1:10">
      <c r="A206" s="3275"/>
      <c r="B206" s="3246"/>
      <c r="C206" s="3245"/>
      <c r="D206" s="3016" t="s">
        <v>3719</v>
      </c>
      <c r="E206" s="3016"/>
      <c r="F206" s="3016">
        <v>3478</v>
      </c>
      <c r="G206" s="3016"/>
      <c r="H206" s="3016"/>
      <c r="I206" s="3239"/>
      <c r="J206" s="3016">
        <f t="shared" si="7"/>
        <v>3478</v>
      </c>
    </row>
    <row r="207" spans="1:10">
      <c r="A207" s="3275"/>
      <c r="B207" s="3246"/>
      <c r="C207" s="3245"/>
      <c r="D207" s="3016" t="s">
        <v>3720</v>
      </c>
      <c r="E207" s="3016"/>
      <c r="F207" s="3016">
        <v>871.7</v>
      </c>
      <c r="G207" s="3016"/>
      <c r="H207" s="3016"/>
      <c r="I207" s="3239"/>
      <c r="J207" s="3016">
        <f t="shared" si="7"/>
        <v>871.7</v>
      </c>
    </row>
    <row r="208" spans="1:10">
      <c r="A208" s="3275"/>
      <c r="B208" s="3246"/>
      <c r="C208" s="3245"/>
      <c r="D208" s="3016" t="s">
        <v>3721</v>
      </c>
      <c r="E208" s="3016"/>
      <c r="F208" s="3016">
        <v>3478</v>
      </c>
      <c r="G208" s="3016"/>
      <c r="H208" s="3016"/>
      <c r="I208" s="3239"/>
      <c r="J208" s="3016">
        <f t="shared" si="7"/>
        <v>3478</v>
      </c>
    </row>
    <row r="209" spans="1:10">
      <c r="A209" s="3275"/>
      <c r="B209" s="3246"/>
      <c r="C209" s="3245"/>
      <c r="D209" s="3016" t="s">
        <v>3722</v>
      </c>
      <c r="E209" s="3016"/>
      <c r="F209" s="3016">
        <v>3630.14</v>
      </c>
      <c r="G209" s="3016"/>
      <c r="H209" s="3016"/>
      <c r="I209" s="3240"/>
      <c r="J209" s="3016">
        <f t="shared" si="7"/>
        <v>3630.14</v>
      </c>
    </row>
    <row r="210" spans="1:10">
      <c r="A210" s="3275"/>
      <c r="B210" s="3246"/>
      <c r="C210" s="3245" t="s">
        <v>3699</v>
      </c>
      <c r="D210" s="3034" t="s">
        <v>3723</v>
      </c>
      <c r="E210" s="3029">
        <v>11015.88</v>
      </c>
      <c r="F210" s="3029"/>
      <c r="G210" s="3029"/>
      <c r="H210" s="3029"/>
      <c r="I210" s="3270">
        <v>13032.41</v>
      </c>
      <c r="J210" s="3016">
        <f>H210+G210+F210+E210</f>
        <v>11015.88</v>
      </c>
    </row>
    <row r="211" spans="1:10">
      <c r="A211" s="3275"/>
      <c r="B211" s="3246"/>
      <c r="C211" s="3245"/>
      <c r="D211" s="3034" t="s">
        <v>3724</v>
      </c>
      <c r="E211" s="3029">
        <v>10986.65</v>
      </c>
      <c r="F211" s="3029"/>
      <c r="G211" s="3029"/>
      <c r="H211" s="3029"/>
      <c r="I211" s="3239"/>
      <c r="J211" s="3016">
        <f>H211+G211+F211+E211</f>
        <v>10986.65</v>
      </c>
    </row>
    <row r="212" spans="1:10">
      <c r="A212" s="3275"/>
      <c r="B212" s="3246"/>
      <c r="C212" s="3245"/>
      <c r="D212" s="3034" t="s">
        <v>3725</v>
      </c>
      <c r="E212" s="3029">
        <v>11027.57</v>
      </c>
      <c r="F212" s="3037"/>
      <c r="G212" s="3035">
        <f>844.78+231.78</f>
        <v>1076.56</v>
      </c>
      <c r="H212" s="3029"/>
      <c r="I212" s="3239"/>
      <c r="J212" s="3016">
        <f>SUM(E212:H212)</f>
        <v>12104.13</v>
      </c>
    </row>
    <row r="213" spans="1:10">
      <c r="A213" s="3275"/>
      <c r="B213" s="3246"/>
      <c r="C213" s="3245"/>
      <c r="D213" s="3034" t="s">
        <v>3726</v>
      </c>
      <c r="E213" s="3029">
        <v>11027.57</v>
      </c>
      <c r="F213" s="3029"/>
      <c r="G213" s="3035">
        <f>817.18-H213</f>
        <v>691.56999999999994</v>
      </c>
      <c r="H213" s="3030">
        <v>125.61</v>
      </c>
      <c r="I213" s="3240"/>
      <c r="J213" s="3016">
        <f>H213+G213+F213+E213</f>
        <v>11844.75</v>
      </c>
    </row>
    <row r="214" spans="1:10">
      <c r="A214" s="3275"/>
      <c r="B214" s="3246"/>
      <c r="C214" s="3245" t="s">
        <v>3727</v>
      </c>
      <c r="D214" s="3029" t="s">
        <v>3728</v>
      </c>
      <c r="E214" s="3029"/>
      <c r="F214" s="3029"/>
      <c r="G214" s="3029"/>
      <c r="H214" s="3030">
        <v>4003.87</v>
      </c>
      <c r="I214" s="3270">
        <v>12751.84</v>
      </c>
      <c r="J214" s="3016">
        <f t="shared" si="7"/>
        <v>4003.87</v>
      </c>
    </row>
    <row r="215" spans="1:10">
      <c r="A215" s="3275"/>
      <c r="B215" s="3246"/>
      <c r="C215" s="3245"/>
      <c r="D215" s="3016" t="s">
        <v>3729</v>
      </c>
      <c r="E215" s="3016"/>
      <c r="F215" s="3016">
        <v>1236.44</v>
      </c>
      <c r="G215" s="3016"/>
      <c r="H215" s="3016"/>
      <c r="I215" s="3239"/>
      <c r="J215" s="3016">
        <f t="shared" si="7"/>
        <v>1236.44</v>
      </c>
    </row>
    <row r="216" spans="1:10">
      <c r="A216" s="3275"/>
      <c r="B216" s="3246"/>
      <c r="C216" s="3245"/>
      <c r="D216" s="3016" t="s">
        <v>3730</v>
      </c>
      <c r="E216" s="3016"/>
      <c r="F216" s="3016">
        <v>2491.2800000000002</v>
      </c>
      <c r="G216" s="3016"/>
      <c r="H216" s="3016"/>
      <c r="I216" s="3239"/>
      <c r="J216" s="3016">
        <f t="shared" si="7"/>
        <v>2491.2800000000002</v>
      </c>
    </row>
    <row r="217" spans="1:10">
      <c r="A217" s="3275"/>
      <c r="B217" s="3246"/>
      <c r="C217" s="3245"/>
      <c r="D217" s="3016" t="s">
        <v>3731</v>
      </c>
      <c r="E217" s="3016"/>
      <c r="F217" s="3016">
        <v>1508.08</v>
      </c>
      <c r="G217" s="3016"/>
      <c r="H217" s="3016"/>
      <c r="I217" s="3239"/>
      <c r="J217" s="3016">
        <f t="shared" si="7"/>
        <v>1508.08</v>
      </c>
    </row>
    <row r="218" spans="1:10">
      <c r="A218" s="3275"/>
      <c r="B218" s="3246"/>
      <c r="C218" s="3245"/>
      <c r="D218" s="3016" t="s">
        <v>3732</v>
      </c>
      <c r="E218" s="3016"/>
      <c r="F218" s="3016">
        <v>766.52</v>
      </c>
      <c r="G218" s="3016"/>
      <c r="H218" s="3016"/>
      <c r="I218" s="3239"/>
      <c r="J218" s="3016">
        <f t="shared" si="7"/>
        <v>766.52</v>
      </c>
    </row>
    <row r="219" spans="1:10">
      <c r="A219" s="3275"/>
      <c r="B219" s="3246"/>
      <c r="C219" s="3245"/>
      <c r="D219" s="3016" t="s">
        <v>3733</v>
      </c>
      <c r="E219" s="3016"/>
      <c r="F219" s="3016">
        <v>2491.2800000000002</v>
      </c>
      <c r="G219" s="3016"/>
      <c r="H219" s="3016"/>
      <c r="I219" s="3239"/>
      <c r="J219" s="3016">
        <f t="shared" si="7"/>
        <v>2491.2800000000002</v>
      </c>
    </row>
    <row r="220" spans="1:10">
      <c r="A220" s="3275"/>
      <c r="B220" s="3246"/>
      <c r="C220" s="3245"/>
      <c r="D220" s="3016" t="s">
        <v>3734</v>
      </c>
      <c r="E220" s="3016"/>
      <c r="F220" s="3016">
        <v>2491.2800000000002</v>
      </c>
      <c r="G220" s="3016"/>
      <c r="H220" s="3016"/>
      <c r="I220" s="3240"/>
      <c r="J220" s="3016">
        <f t="shared" si="7"/>
        <v>2491.2800000000002</v>
      </c>
    </row>
    <row r="221" spans="1:10">
      <c r="A221" s="3275"/>
      <c r="B221" s="3246"/>
      <c r="C221" s="3246" t="s">
        <v>40</v>
      </c>
      <c r="D221" s="3246"/>
      <c r="E221" s="3038">
        <f>SUM(E199:E220)</f>
        <v>44057.67</v>
      </c>
      <c r="F221" s="3038">
        <f>SUM(F199:F220)</f>
        <v>38517.819999999992</v>
      </c>
      <c r="G221" s="3038">
        <f>SUM(G199:G220)</f>
        <v>1768.1299999999999</v>
      </c>
      <c r="H221" s="3038">
        <f>SUM(H199:H220)</f>
        <v>4129.4799999999996</v>
      </c>
      <c r="I221" s="3276">
        <f>SUM(I199:I220)</f>
        <v>54030.33</v>
      </c>
      <c r="J221" s="3276">
        <f>E223+I221</f>
        <v>142503.43</v>
      </c>
    </row>
    <row r="222" spans="1:10">
      <c r="A222" s="3275"/>
      <c r="B222" s="3246"/>
      <c r="C222" s="3246"/>
      <c r="D222" s="3246"/>
      <c r="E222" s="3246">
        <f>SUM(E221:G221)</f>
        <v>84343.62</v>
      </c>
      <c r="F222" s="3246"/>
      <c r="G222" s="3246"/>
      <c r="H222" s="3038">
        <f>H221</f>
        <v>4129.4799999999996</v>
      </c>
      <c r="I222" s="3277"/>
      <c r="J222" s="3277"/>
    </row>
    <row r="223" spans="1:10">
      <c r="A223" s="3275"/>
      <c r="B223" s="3246"/>
      <c r="C223" s="3246"/>
      <c r="D223" s="3246"/>
      <c r="E223" s="3246">
        <f>SUM(E222:H222)</f>
        <v>88473.099999999991</v>
      </c>
      <c r="F223" s="3246"/>
      <c r="G223" s="3246"/>
      <c r="H223" s="3246"/>
      <c r="I223" s="3278"/>
      <c r="J223" s="3278"/>
    </row>
    <row r="224" spans="1:10">
      <c r="A224" s="3275"/>
      <c r="B224" s="3245" t="s">
        <v>3529</v>
      </c>
      <c r="C224" s="3245"/>
      <c r="D224" s="3245"/>
      <c r="E224" s="3016" t="s">
        <v>3530</v>
      </c>
      <c r="F224" s="3016" t="s">
        <v>3625</v>
      </c>
      <c r="G224" s="3016" t="s">
        <v>3532</v>
      </c>
      <c r="H224" s="3016" t="s">
        <v>3533</v>
      </c>
      <c r="I224" s="3016" t="s">
        <v>3534</v>
      </c>
      <c r="J224" s="3016" t="s">
        <v>37</v>
      </c>
    </row>
    <row r="225" spans="1:10">
      <c r="A225" s="3275"/>
      <c r="B225" s="3279" t="s">
        <v>3735</v>
      </c>
      <c r="C225" s="3245" t="s">
        <v>3688</v>
      </c>
      <c r="D225" s="3016" t="s">
        <v>3736</v>
      </c>
      <c r="E225" s="3016"/>
      <c r="F225" s="3016">
        <v>426.69</v>
      </c>
      <c r="G225" s="3016"/>
      <c r="H225" s="3016"/>
      <c r="I225" s="3270">
        <v>35146.239999999998</v>
      </c>
      <c r="J225" s="3016">
        <f>SUM(E225:H225)</f>
        <v>426.69</v>
      </c>
    </row>
    <row r="226" spans="1:10">
      <c r="A226" s="3275"/>
      <c r="B226" s="3279"/>
      <c r="C226" s="3245"/>
      <c r="D226" s="3016" t="s">
        <v>3737</v>
      </c>
      <c r="E226" s="3016"/>
      <c r="F226" s="3016">
        <v>426.69</v>
      </c>
      <c r="G226" s="3016"/>
      <c r="H226" s="3016"/>
      <c r="I226" s="3239"/>
      <c r="J226" s="3016">
        <f t="shared" ref="J226:J250" si="8">SUM(E226:H226)</f>
        <v>426.69</v>
      </c>
    </row>
    <row r="227" spans="1:10">
      <c r="A227" s="3275"/>
      <c r="B227" s="3279"/>
      <c r="C227" s="3245"/>
      <c r="D227" s="3016" t="s">
        <v>3738</v>
      </c>
      <c r="E227" s="3016"/>
      <c r="F227" s="3016">
        <v>426.69</v>
      </c>
      <c r="G227" s="3016"/>
      <c r="H227" s="3016"/>
      <c r="I227" s="3239"/>
      <c r="J227" s="3016">
        <f t="shared" si="8"/>
        <v>426.69</v>
      </c>
    </row>
    <row r="228" spans="1:10">
      <c r="A228" s="3275"/>
      <c r="B228" s="3279"/>
      <c r="C228" s="3245"/>
      <c r="D228" s="3016" t="s">
        <v>3739</v>
      </c>
      <c r="E228" s="3016"/>
      <c r="F228" s="3016">
        <v>451.36</v>
      </c>
      <c r="G228" s="3016"/>
      <c r="H228" s="3016"/>
      <c r="I228" s="3239"/>
      <c r="J228" s="3016">
        <f t="shared" si="8"/>
        <v>451.36</v>
      </c>
    </row>
    <row r="229" spans="1:10">
      <c r="A229" s="3275"/>
      <c r="B229" s="3279"/>
      <c r="C229" s="3245"/>
      <c r="D229" s="3016" t="s">
        <v>3740</v>
      </c>
      <c r="E229" s="3016"/>
      <c r="F229" s="3016">
        <v>451.36</v>
      </c>
      <c r="G229" s="3016"/>
      <c r="H229" s="3016"/>
      <c r="I229" s="3239"/>
      <c r="J229" s="3016">
        <f t="shared" si="8"/>
        <v>451.36</v>
      </c>
    </row>
    <row r="230" spans="1:10">
      <c r="A230" s="3275"/>
      <c r="B230" s="3279"/>
      <c r="C230" s="3245"/>
      <c r="D230" s="3016" t="s">
        <v>3741</v>
      </c>
      <c r="E230" s="3016"/>
      <c r="F230" s="3016">
        <v>451.36</v>
      </c>
      <c r="G230" s="3016"/>
      <c r="H230" s="3016"/>
      <c r="I230" s="3239"/>
      <c r="J230" s="3016">
        <f t="shared" si="8"/>
        <v>451.36</v>
      </c>
    </row>
    <row r="231" spans="1:10">
      <c r="A231" s="3275"/>
      <c r="B231" s="3279"/>
      <c r="C231" s="3245"/>
      <c r="D231" s="3016" t="s">
        <v>3742</v>
      </c>
      <c r="E231" s="3016"/>
      <c r="F231" s="3016">
        <v>451.36</v>
      </c>
      <c r="G231" s="3016"/>
      <c r="H231" s="3016"/>
      <c r="I231" s="3239"/>
      <c r="J231" s="3016">
        <f t="shared" si="8"/>
        <v>451.36</v>
      </c>
    </row>
    <row r="232" spans="1:10">
      <c r="A232" s="3275"/>
      <c r="B232" s="3279"/>
      <c r="C232" s="3245"/>
      <c r="D232" s="3016" t="s">
        <v>3743</v>
      </c>
      <c r="E232" s="3016"/>
      <c r="F232" s="3016">
        <v>426.69</v>
      </c>
      <c r="G232" s="3016"/>
      <c r="H232" s="3016"/>
      <c r="I232" s="3239"/>
      <c r="J232" s="3016">
        <f t="shared" si="8"/>
        <v>426.69</v>
      </c>
    </row>
    <row r="233" spans="1:10">
      <c r="A233" s="3275"/>
      <c r="B233" s="3279"/>
      <c r="C233" s="3245"/>
      <c r="D233" s="3016" t="s">
        <v>3744</v>
      </c>
      <c r="E233" s="3016"/>
      <c r="F233" s="3016">
        <v>426.69</v>
      </c>
      <c r="G233" s="3016"/>
      <c r="H233" s="3016"/>
      <c r="I233" s="3239"/>
      <c r="J233" s="3016">
        <f t="shared" si="8"/>
        <v>426.69</v>
      </c>
    </row>
    <row r="234" spans="1:10">
      <c r="A234" s="3275"/>
      <c r="B234" s="3279"/>
      <c r="C234" s="3245"/>
      <c r="D234" s="3016" t="s">
        <v>3745</v>
      </c>
      <c r="E234" s="3016"/>
      <c r="F234" s="3016">
        <v>426.69</v>
      </c>
      <c r="G234" s="3016"/>
      <c r="H234" s="3016"/>
      <c r="I234" s="3239"/>
      <c r="J234" s="3016">
        <f t="shared" si="8"/>
        <v>426.69</v>
      </c>
    </row>
    <row r="235" spans="1:10">
      <c r="A235" s="3275"/>
      <c r="B235" s="3279"/>
      <c r="C235" s="3245"/>
      <c r="D235" s="3016" t="s">
        <v>3746</v>
      </c>
      <c r="E235" s="3016"/>
      <c r="F235" s="3016">
        <v>426.69</v>
      </c>
      <c r="G235" s="3016"/>
      <c r="H235" s="3016"/>
      <c r="I235" s="3239"/>
      <c r="J235" s="3016">
        <f t="shared" si="8"/>
        <v>426.69</v>
      </c>
    </row>
    <row r="236" spans="1:10">
      <c r="A236" s="3275"/>
      <c r="B236" s="3279"/>
      <c r="C236" s="3245"/>
      <c r="D236" s="3016" t="s">
        <v>3747</v>
      </c>
      <c r="E236" s="3016"/>
      <c r="F236" s="3016">
        <v>426.69</v>
      </c>
      <c r="G236" s="3016"/>
      <c r="H236" s="3016"/>
      <c r="I236" s="3239"/>
      <c r="J236" s="3016">
        <f t="shared" si="8"/>
        <v>426.69</v>
      </c>
    </row>
    <row r="237" spans="1:10">
      <c r="A237" s="3275"/>
      <c r="B237" s="3279"/>
      <c r="C237" s="3245"/>
      <c r="D237" s="3016" t="s">
        <v>3748</v>
      </c>
      <c r="E237" s="3016"/>
      <c r="F237" s="3016">
        <v>426.69</v>
      </c>
      <c r="G237" s="3016"/>
      <c r="H237" s="3016"/>
      <c r="I237" s="3239"/>
      <c r="J237" s="3016">
        <f t="shared" si="8"/>
        <v>426.69</v>
      </c>
    </row>
    <row r="238" spans="1:10">
      <c r="A238" s="3275"/>
      <c r="B238" s="3279"/>
      <c r="C238" s="3245"/>
      <c r="D238" s="3016" t="s">
        <v>3749</v>
      </c>
      <c r="E238" s="3016"/>
      <c r="F238" s="3016">
        <v>426.69</v>
      </c>
      <c r="G238" s="3016"/>
      <c r="H238" s="3016"/>
      <c r="I238" s="3239"/>
      <c r="J238" s="3016">
        <f t="shared" si="8"/>
        <v>426.69</v>
      </c>
    </row>
    <row r="239" spans="1:10">
      <c r="A239" s="3275"/>
      <c r="B239" s="3279"/>
      <c r="C239" s="3245"/>
      <c r="D239" s="3016" t="s">
        <v>3750</v>
      </c>
      <c r="E239" s="3016"/>
      <c r="F239" s="3016">
        <v>451.36</v>
      </c>
      <c r="G239" s="3016"/>
      <c r="H239" s="3016"/>
      <c r="I239" s="3239"/>
      <c r="J239" s="3016">
        <f t="shared" si="8"/>
        <v>451.36</v>
      </c>
    </row>
    <row r="240" spans="1:10">
      <c r="A240" s="3275"/>
      <c r="B240" s="3279"/>
      <c r="C240" s="3245"/>
      <c r="D240" s="3016" t="s">
        <v>3751</v>
      </c>
      <c r="E240" s="3016"/>
      <c r="F240" s="3016">
        <v>451.36</v>
      </c>
      <c r="G240" s="3016"/>
      <c r="H240" s="3016"/>
      <c r="I240" s="3239"/>
      <c r="J240" s="3016">
        <f t="shared" si="8"/>
        <v>451.36</v>
      </c>
    </row>
    <row r="241" spans="1:10">
      <c r="A241" s="3275"/>
      <c r="B241" s="3279"/>
      <c r="C241" s="3245"/>
      <c r="D241" s="3016" t="s">
        <v>3752</v>
      </c>
      <c r="E241" s="3016"/>
      <c r="F241" s="3016">
        <v>451.36</v>
      </c>
      <c r="G241" s="3016"/>
      <c r="H241" s="3016"/>
      <c r="I241" s="3239"/>
      <c r="J241" s="3016">
        <f t="shared" si="8"/>
        <v>451.36</v>
      </c>
    </row>
    <row r="242" spans="1:10">
      <c r="A242" s="3275"/>
      <c r="B242" s="3279"/>
      <c r="C242" s="3245"/>
      <c r="D242" s="3016" t="s">
        <v>3753</v>
      </c>
      <c r="E242" s="3016"/>
      <c r="F242" s="3016">
        <v>451.36</v>
      </c>
      <c r="G242" s="3016"/>
      <c r="H242" s="3016"/>
      <c r="I242" s="3239"/>
      <c r="J242" s="3016">
        <f t="shared" si="8"/>
        <v>451.36</v>
      </c>
    </row>
    <row r="243" spans="1:10">
      <c r="A243" s="3275"/>
      <c r="B243" s="3279"/>
      <c r="C243" s="3245"/>
      <c r="D243" s="3016" t="s">
        <v>3754</v>
      </c>
      <c r="E243" s="3016"/>
      <c r="F243" s="3016">
        <v>451.36</v>
      </c>
      <c r="G243" s="3016"/>
      <c r="H243" s="3016"/>
      <c r="I243" s="3239"/>
      <c r="J243" s="3016">
        <f t="shared" si="8"/>
        <v>451.36</v>
      </c>
    </row>
    <row r="244" spans="1:10">
      <c r="A244" s="3275"/>
      <c r="B244" s="3279"/>
      <c r="C244" s="3245"/>
      <c r="D244" s="3016" t="s">
        <v>3755</v>
      </c>
      <c r="E244" s="3016"/>
      <c r="F244" s="3016">
        <v>451.36</v>
      </c>
      <c r="G244" s="3016"/>
      <c r="H244" s="3016"/>
      <c r="I244" s="3239"/>
      <c r="J244" s="3016">
        <f t="shared" si="8"/>
        <v>451.36</v>
      </c>
    </row>
    <row r="245" spans="1:10">
      <c r="A245" s="3275"/>
      <c r="B245" s="3279"/>
      <c r="C245" s="3245"/>
      <c r="D245" s="3016" t="s">
        <v>3756</v>
      </c>
      <c r="E245" s="3016"/>
      <c r="F245" s="3016">
        <v>2491.2800000000002</v>
      </c>
      <c r="G245" s="3016"/>
      <c r="H245" s="3016"/>
      <c r="I245" s="3239"/>
      <c r="J245" s="3016">
        <f t="shared" si="8"/>
        <v>2491.2800000000002</v>
      </c>
    </row>
    <row r="246" spans="1:10">
      <c r="A246" s="3275"/>
      <c r="B246" s="3279"/>
      <c r="C246" s="3245"/>
      <c r="D246" s="3016" t="s">
        <v>3757</v>
      </c>
      <c r="E246" s="3016"/>
      <c r="F246" s="3016">
        <v>2984.64</v>
      </c>
      <c r="G246" s="3016"/>
      <c r="H246" s="3016"/>
      <c r="I246" s="3239"/>
      <c r="J246" s="3016">
        <f t="shared" si="8"/>
        <v>2984.64</v>
      </c>
    </row>
    <row r="247" spans="1:10">
      <c r="A247" s="3275"/>
      <c r="B247" s="3279"/>
      <c r="C247" s="3245"/>
      <c r="D247" s="3016" t="s">
        <v>3758</v>
      </c>
      <c r="E247" s="3016"/>
      <c r="F247" s="3016">
        <v>2005.6</v>
      </c>
      <c r="G247" s="3016"/>
      <c r="H247" s="3016"/>
      <c r="I247" s="3239"/>
      <c r="J247" s="3016">
        <f t="shared" si="8"/>
        <v>2005.6</v>
      </c>
    </row>
    <row r="248" spans="1:10">
      <c r="A248" s="3275"/>
      <c r="B248" s="3279"/>
      <c r="C248" s="3245"/>
      <c r="D248" s="3016" t="s">
        <v>3759</v>
      </c>
      <c r="E248" s="3016"/>
      <c r="F248" s="3016">
        <v>1747.26</v>
      </c>
      <c r="G248" s="3016"/>
      <c r="H248" s="3016"/>
      <c r="I248" s="3239"/>
      <c r="J248" s="3016">
        <f t="shared" si="8"/>
        <v>1747.26</v>
      </c>
    </row>
    <row r="249" spans="1:10">
      <c r="A249" s="3275"/>
      <c r="B249" s="3279"/>
      <c r="C249" s="3245"/>
      <c r="D249" s="3016" t="s">
        <v>3760</v>
      </c>
      <c r="E249" s="3016"/>
      <c r="F249" s="3016">
        <v>2033.38</v>
      </c>
      <c r="G249" s="3016"/>
      <c r="H249" s="3016"/>
      <c r="I249" s="3239"/>
      <c r="J249" s="3016">
        <f t="shared" si="8"/>
        <v>2033.38</v>
      </c>
    </row>
    <row r="250" spans="1:10">
      <c r="A250" s="3275"/>
      <c r="B250" s="3279"/>
      <c r="C250" s="3245"/>
      <c r="D250" s="3016" t="s">
        <v>3761</v>
      </c>
      <c r="E250" s="3016"/>
      <c r="F250" s="3016">
        <v>2328.8000000000002</v>
      </c>
      <c r="G250" s="3016"/>
      <c r="H250" s="3016"/>
      <c r="I250" s="3240"/>
      <c r="J250" s="3016">
        <f t="shared" si="8"/>
        <v>2328.8000000000002</v>
      </c>
    </row>
    <row r="251" spans="1:10">
      <c r="A251" s="3275"/>
      <c r="B251" s="3279"/>
      <c r="C251" s="3279" t="s">
        <v>40</v>
      </c>
      <c r="D251" s="3279"/>
      <c r="E251" s="3039">
        <f>SUM(E225:E250)</f>
        <v>0</v>
      </c>
      <c r="F251" s="3039">
        <f>SUM(F225:F250)</f>
        <v>22371.46</v>
      </c>
      <c r="G251" s="3039">
        <f>SUM(G225:G250)</f>
        <v>0</v>
      </c>
      <c r="H251" s="3039">
        <f>SUM(H225:H250)</f>
        <v>0</v>
      </c>
      <c r="I251" s="3280">
        <f>SUM(I225)</f>
        <v>35146.239999999998</v>
      </c>
      <c r="J251" s="3280">
        <f>E253+I251</f>
        <v>57517.7</v>
      </c>
    </row>
    <row r="252" spans="1:10">
      <c r="A252" s="3275"/>
      <c r="B252" s="3279"/>
      <c r="C252" s="3279"/>
      <c r="D252" s="3279"/>
      <c r="E252" s="3279">
        <f>SUM(E251:G251)</f>
        <v>22371.46</v>
      </c>
      <c r="F252" s="3279"/>
      <c r="G252" s="3279"/>
      <c r="H252" s="3039">
        <f>H251</f>
        <v>0</v>
      </c>
      <c r="I252" s="3281"/>
      <c r="J252" s="3281"/>
    </row>
    <row r="253" spans="1:10">
      <c r="A253" s="3275"/>
      <c r="B253" s="3279"/>
      <c r="C253" s="3279"/>
      <c r="D253" s="3279"/>
      <c r="E253" s="3279">
        <f>SUM(E252:H252)</f>
        <v>22371.46</v>
      </c>
      <c r="F253" s="3279"/>
      <c r="G253" s="3279"/>
      <c r="H253" s="3279"/>
      <c r="I253" s="3282"/>
      <c r="J253" s="3282"/>
    </row>
    <row r="254" spans="1:10">
      <c r="A254" s="3275"/>
      <c r="B254" s="3245" t="s">
        <v>3529</v>
      </c>
      <c r="C254" s="3245"/>
      <c r="D254" s="3245"/>
      <c r="E254" s="3016" t="s">
        <v>3530</v>
      </c>
      <c r="F254" s="3016" t="s">
        <v>3625</v>
      </c>
      <c r="G254" s="3016" t="s">
        <v>3532</v>
      </c>
      <c r="H254" s="3016" t="s">
        <v>3533</v>
      </c>
      <c r="I254" s="3016" t="s">
        <v>3534</v>
      </c>
      <c r="J254" s="3016" t="s">
        <v>37</v>
      </c>
    </row>
    <row r="255" spans="1:10">
      <c r="A255" s="3275"/>
      <c r="B255" s="3288" t="s">
        <v>3762</v>
      </c>
      <c r="C255" s="3245" t="s">
        <v>3688</v>
      </c>
      <c r="D255" s="3016" t="s">
        <v>3763</v>
      </c>
      <c r="E255" s="3016"/>
      <c r="F255" s="3016">
        <v>1997.92</v>
      </c>
      <c r="G255" s="3016"/>
      <c r="H255" s="3016"/>
      <c r="I255" s="3270">
        <v>16912.86</v>
      </c>
      <c r="J255" s="3016">
        <f>SUM(E255:H255)</f>
        <v>1997.92</v>
      </c>
    </row>
    <row r="256" spans="1:10">
      <c r="A256" s="3275"/>
      <c r="B256" s="3288"/>
      <c r="C256" s="3245"/>
      <c r="D256" s="3016" t="s">
        <v>3764</v>
      </c>
      <c r="E256" s="3016"/>
      <c r="F256" s="3016">
        <v>2491.2800000000002</v>
      </c>
      <c r="G256" s="3016"/>
      <c r="H256" s="3016"/>
      <c r="I256" s="3239"/>
      <c r="J256" s="3016">
        <f t="shared" ref="J256:J275" si="9">SUM(E256:H256)</f>
        <v>2491.2800000000002</v>
      </c>
    </row>
    <row r="257" spans="1:10">
      <c r="A257" s="3275"/>
      <c r="B257" s="3288"/>
      <c r="C257" s="3245"/>
      <c r="D257" s="3029" t="s">
        <v>3765</v>
      </c>
      <c r="E257" s="3029"/>
      <c r="F257" s="3029"/>
      <c r="G257" s="3029"/>
      <c r="H257" s="3030">
        <f>1018.79+86.65+33.36</f>
        <v>1138.8</v>
      </c>
      <c r="I257" s="3239"/>
      <c r="J257" s="3016">
        <f t="shared" si="9"/>
        <v>1138.8</v>
      </c>
    </row>
    <row r="258" spans="1:10">
      <c r="A258" s="3275"/>
      <c r="B258" s="3288"/>
      <c r="C258" s="3245"/>
      <c r="D258" s="3016" t="s">
        <v>3766</v>
      </c>
      <c r="E258" s="3016"/>
      <c r="F258" s="3016">
        <v>3478</v>
      </c>
      <c r="G258" s="3016"/>
      <c r="H258" s="3016"/>
      <c r="I258" s="3239"/>
      <c r="J258" s="3016">
        <f t="shared" si="9"/>
        <v>3478</v>
      </c>
    </row>
    <row r="259" spans="1:10">
      <c r="A259" s="3275"/>
      <c r="B259" s="3288"/>
      <c r="C259" s="3245"/>
      <c r="D259" s="3016" t="s">
        <v>3767</v>
      </c>
      <c r="E259" s="3016"/>
      <c r="F259" s="3016">
        <v>3478</v>
      </c>
      <c r="G259" s="3016"/>
      <c r="H259" s="3016"/>
      <c r="I259" s="3239"/>
      <c r="J259" s="3016">
        <f t="shared" si="9"/>
        <v>3478</v>
      </c>
    </row>
    <row r="260" spans="1:10">
      <c r="A260" s="3275"/>
      <c r="B260" s="3288"/>
      <c r="C260" s="3245"/>
      <c r="D260" s="3016" t="s">
        <v>3768</v>
      </c>
      <c r="E260" s="3016"/>
      <c r="F260" s="3016">
        <v>2033.38</v>
      </c>
      <c r="G260" s="3016"/>
      <c r="H260" s="3016"/>
      <c r="I260" s="3239"/>
      <c r="J260" s="3016">
        <f t="shared" si="9"/>
        <v>2033.38</v>
      </c>
    </row>
    <row r="261" spans="1:10">
      <c r="A261" s="3275"/>
      <c r="B261" s="3288"/>
      <c r="C261" s="3245"/>
      <c r="D261" s="3016" t="s">
        <v>3769</v>
      </c>
      <c r="E261" s="3016"/>
      <c r="F261" s="3016">
        <v>2033.38</v>
      </c>
      <c r="G261" s="3016"/>
      <c r="H261" s="3016"/>
      <c r="I261" s="3240"/>
      <c r="J261" s="3016">
        <f t="shared" si="9"/>
        <v>2033.38</v>
      </c>
    </row>
    <row r="262" spans="1:10">
      <c r="A262" s="3275"/>
      <c r="B262" s="3288"/>
      <c r="C262" s="3245" t="s">
        <v>3770</v>
      </c>
      <c r="D262" s="3029" t="s">
        <v>3771</v>
      </c>
      <c r="E262" s="3029"/>
      <c r="F262" s="3029"/>
      <c r="G262" s="3029"/>
      <c r="H262" s="3030">
        <v>4003.87</v>
      </c>
      <c r="I262" s="3270">
        <v>37320.269999999997</v>
      </c>
      <c r="J262" s="3016">
        <f t="shared" si="9"/>
        <v>4003.87</v>
      </c>
    </row>
    <row r="263" spans="1:10">
      <c r="A263" s="3275"/>
      <c r="B263" s="3288"/>
      <c r="C263" s="3245"/>
      <c r="D263" s="3016" t="s">
        <v>3772</v>
      </c>
      <c r="E263" s="3016"/>
      <c r="F263" s="3016">
        <v>1729.8</v>
      </c>
      <c r="G263" s="3016"/>
      <c r="H263" s="3016"/>
      <c r="I263" s="3239"/>
      <c r="J263" s="3016">
        <f t="shared" si="9"/>
        <v>1729.8</v>
      </c>
    </row>
    <row r="264" spans="1:10">
      <c r="A264" s="3275"/>
      <c r="B264" s="3288"/>
      <c r="C264" s="3245"/>
      <c r="D264" s="3016" t="s">
        <v>3773</v>
      </c>
      <c r="E264" s="3016"/>
      <c r="F264" s="3016">
        <v>3478</v>
      </c>
      <c r="G264" s="3016"/>
      <c r="H264" s="3016"/>
      <c r="I264" s="3239"/>
      <c r="J264" s="3016">
        <f t="shared" si="9"/>
        <v>3478</v>
      </c>
    </row>
    <row r="265" spans="1:10">
      <c r="A265" s="3275"/>
      <c r="B265" s="3288"/>
      <c r="C265" s="3245"/>
      <c r="D265" s="3016" t="s">
        <v>3774</v>
      </c>
      <c r="E265" s="3016"/>
      <c r="F265" s="3016">
        <v>2333.8200000000002</v>
      </c>
      <c r="G265" s="3016"/>
      <c r="H265" s="3016"/>
      <c r="I265" s="3239"/>
      <c r="J265" s="3016">
        <f t="shared" si="9"/>
        <v>2333.8200000000002</v>
      </c>
    </row>
    <row r="266" spans="1:10">
      <c r="A266" s="3275"/>
      <c r="B266" s="3288"/>
      <c r="C266" s="3245"/>
      <c r="D266" s="3016" t="s">
        <v>3775</v>
      </c>
      <c r="E266" s="3016"/>
      <c r="F266" s="3016">
        <v>2333.8200000000002</v>
      </c>
      <c r="G266" s="3016"/>
      <c r="H266" s="3016"/>
      <c r="I266" s="3239"/>
      <c r="J266" s="3016">
        <f t="shared" si="9"/>
        <v>2333.8200000000002</v>
      </c>
    </row>
    <row r="267" spans="1:10">
      <c r="A267" s="3275"/>
      <c r="B267" s="3288"/>
      <c r="C267" s="3245"/>
      <c r="D267" s="3016" t="s">
        <v>3776</v>
      </c>
      <c r="E267" s="3016"/>
      <c r="F267" s="3016">
        <v>1518.44</v>
      </c>
      <c r="G267" s="3016"/>
      <c r="H267" s="3016"/>
      <c r="I267" s="3239"/>
      <c r="J267" s="3016">
        <f t="shared" si="9"/>
        <v>1518.44</v>
      </c>
    </row>
    <row r="268" spans="1:10">
      <c r="A268" s="3275"/>
      <c r="B268" s="3288"/>
      <c r="C268" s="3245"/>
      <c r="D268" s="3016" t="s">
        <v>3777</v>
      </c>
      <c r="E268" s="3016"/>
      <c r="F268" s="3016">
        <v>1997.92</v>
      </c>
      <c r="G268" s="3016"/>
      <c r="H268" s="3016"/>
      <c r="I268" s="3239"/>
      <c r="J268" s="3016">
        <f t="shared" si="9"/>
        <v>1997.92</v>
      </c>
    </row>
    <row r="269" spans="1:10">
      <c r="A269" s="3275"/>
      <c r="B269" s="3288"/>
      <c r="C269" s="3245"/>
      <c r="D269" s="3016" t="s">
        <v>3778</v>
      </c>
      <c r="E269" s="3016"/>
      <c r="F269" s="3016">
        <v>1997.92</v>
      </c>
      <c r="G269" s="3016"/>
      <c r="H269" s="3016"/>
      <c r="I269" s="3239"/>
      <c r="J269" s="3016">
        <f t="shared" si="9"/>
        <v>1997.92</v>
      </c>
    </row>
    <row r="270" spans="1:10">
      <c r="A270" s="3275"/>
      <c r="B270" s="3288"/>
      <c r="C270" s="3245"/>
      <c r="D270" s="3016" t="s">
        <v>3779</v>
      </c>
      <c r="E270" s="3016"/>
      <c r="F270" s="3016">
        <v>3478</v>
      </c>
      <c r="G270" s="3016"/>
      <c r="H270" s="3016"/>
      <c r="I270" s="3239"/>
      <c r="J270" s="3016">
        <f t="shared" si="9"/>
        <v>3478</v>
      </c>
    </row>
    <row r="271" spans="1:10">
      <c r="A271" s="3275"/>
      <c r="B271" s="3288"/>
      <c r="C271" s="3245"/>
      <c r="D271" s="3016" t="s">
        <v>3780</v>
      </c>
      <c r="E271" s="3016"/>
      <c r="F271" s="3016">
        <v>3478</v>
      </c>
      <c r="G271" s="3016"/>
      <c r="H271" s="3016"/>
      <c r="I271" s="3239"/>
      <c r="J271" s="3016">
        <f t="shared" si="9"/>
        <v>3478</v>
      </c>
    </row>
    <row r="272" spans="1:10">
      <c r="A272" s="3275"/>
      <c r="B272" s="3288"/>
      <c r="C272" s="3245"/>
      <c r="D272" s="3016" t="s">
        <v>3781</v>
      </c>
      <c r="E272" s="3016"/>
      <c r="F272" s="3016">
        <v>3478</v>
      </c>
      <c r="G272" s="3016"/>
      <c r="H272" s="3016"/>
      <c r="I272" s="3239"/>
      <c r="J272" s="3016">
        <f t="shared" si="9"/>
        <v>3478</v>
      </c>
    </row>
    <row r="273" spans="1:10">
      <c r="A273" s="3275"/>
      <c r="B273" s="3288"/>
      <c r="C273" s="3245"/>
      <c r="D273" s="3016" t="s">
        <v>3782</v>
      </c>
      <c r="E273" s="3016"/>
      <c r="F273" s="3016">
        <v>2614</v>
      </c>
      <c r="G273" s="3016"/>
      <c r="H273" s="3016"/>
      <c r="I273" s="3239"/>
      <c r="J273" s="3016">
        <f t="shared" si="9"/>
        <v>2614</v>
      </c>
    </row>
    <row r="274" spans="1:10">
      <c r="A274" s="3275"/>
      <c r="B274" s="3288"/>
      <c r="C274" s="3245"/>
      <c r="D274" s="3016" t="s">
        <v>3783</v>
      </c>
      <c r="E274" s="3016"/>
      <c r="F274" s="3016">
        <v>2614</v>
      </c>
      <c r="G274" s="3016"/>
      <c r="H274" s="3016"/>
      <c r="I274" s="3239"/>
      <c r="J274" s="3016">
        <f t="shared" si="9"/>
        <v>2614</v>
      </c>
    </row>
    <row r="275" spans="1:10">
      <c r="A275" s="3275"/>
      <c r="B275" s="3288"/>
      <c r="C275" s="3245"/>
      <c r="D275" s="3016" t="s">
        <v>3784</v>
      </c>
      <c r="E275" s="3016"/>
      <c r="F275" s="3016">
        <v>2328.8000000000002</v>
      </c>
      <c r="G275" s="3016"/>
      <c r="H275" s="3016"/>
      <c r="I275" s="3240"/>
      <c r="J275" s="3016">
        <f t="shared" si="9"/>
        <v>2328.8000000000002</v>
      </c>
    </row>
    <row r="276" spans="1:10">
      <c r="A276" s="3275"/>
      <c r="B276" s="3288"/>
      <c r="C276" s="3288" t="s">
        <v>40</v>
      </c>
      <c r="D276" s="3288"/>
      <c r="E276" s="3040">
        <f>SUM(E255:E275)</f>
        <v>0</v>
      </c>
      <c r="F276" s="3040">
        <f>SUM(F255:F275)</f>
        <v>48892.480000000003</v>
      </c>
      <c r="G276" s="3040">
        <f>SUM(G255:G275)</f>
        <v>0</v>
      </c>
      <c r="H276" s="3040">
        <f>SUM(H255:H275)</f>
        <v>5142.67</v>
      </c>
      <c r="I276" s="3289">
        <f>SUM(I255:I275)</f>
        <v>54233.13</v>
      </c>
      <c r="J276" s="3289">
        <f>E278+I276</f>
        <v>108268.28</v>
      </c>
    </row>
    <row r="277" spans="1:10">
      <c r="A277" s="3275"/>
      <c r="B277" s="3288"/>
      <c r="C277" s="3288"/>
      <c r="D277" s="3288"/>
      <c r="E277" s="3292">
        <f>SUM(E276:G276)</f>
        <v>48892.480000000003</v>
      </c>
      <c r="F277" s="3293"/>
      <c r="G277" s="3294"/>
      <c r="H277" s="3040">
        <f>H276</f>
        <v>5142.67</v>
      </c>
      <c r="I277" s="3290"/>
      <c r="J277" s="3290"/>
    </row>
    <row r="278" spans="1:10">
      <c r="A278" s="3275"/>
      <c r="B278" s="3288"/>
      <c r="C278" s="3288"/>
      <c r="D278" s="3288"/>
      <c r="E278" s="3288">
        <f>SUM(E277:H277)</f>
        <v>54035.15</v>
      </c>
      <c r="F278" s="3288"/>
      <c r="G278" s="3288"/>
      <c r="H278" s="3288"/>
      <c r="I278" s="3291"/>
      <c r="J278" s="3291"/>
    </row>
    <row r="279" spans="1:10">
      <c r="A279" s="3275"/>
      <c r="B279" s="3245" t="s">
        <v>3529</v>
      </c>
      <c r="C279" s="3245"/>
      <c r="D279" s="3245"/>
      <c r="E279" s="3016" t="s">
        <v>3530</v>
      </c>
      <c r="F279" s="3016" t="s">
        <v>3625</v>
      </c>
      <c r="G279" s="3016" t="s">
        <v>3532</v>
      </c>
      <c r="H279" s="3016" t="s">
        <v>3533</v>
      </c>
      <c r="I279" s="3016" t="s">
        <v>3534</v>
      </c>
      <c r="J279" s="3016" t="s">
        <v>37</v>
      </c>
    </row>
    <row r="280" spans="1:10">
      <c r="A280" s="3275"/>
      <c r="B280" s="3283" t="s">
        <v>3785</v>
      </c>
      <c r="C280" s="3245" t="s">
        <v>3688</v>
      </c>
      <c r="D280" s="3016" t="s">
        <v>3786</v>
      </c>
      <c r="E280" s="3016"/>
      <c r="F280" s="3016">
        <v>2491.2800000000002</v>
      </c>
      <c r="G280" s="3016"/>
      <c r="H280" s="3016"/>
      <c r="I280" s="3270">
        <v>22863</v>
      </c>
      <c r="J280" s="3016">
        <f>SUM(E280:H280)</f>
        <v>2491.2800000000002</v>
      </c>
    </row>
    <row r="281" spans="1:10">
      <c r="A281" s="3275"/>
      <c r="B281" s="3283"/>
      <c r="C281" s="3245"/>
      <c r="D281" s="3016" t="s">
        <v>3787</v>
      </c>
      <c r="E281" s="3016"/>
      <c r="F281" s="3016">
        <v>2984.64</v>
      </c>
      <c r="G281" s="3016"/>
      <c r="H281" s="3016"/>
      <c r="I281" s="3239"/>
      <c r="J281" s="3016">
        <f t="shared" ref="J281:J303" si="10">SUM(E281:H281)</f>
        <v>2984.64</v>
      </c>
    </row>
    <row r="282" spans="1:10">
      <c r="A282" s="3275"/>
      <c r="B282" s="3283"/>
      <c r="C282" s="3245"/>
      <c r="D282" s="3016" t="s">
        <v>3788</v>
      </c>
      <c r="E282" s="3016"/>
      <c r="F282" s="3016">
        <v>3478</v>
      </c>
      <c r="G282" s="3016"/>
      <c r="H282" s="3016"/>
      <c r="I282" s="3239"/>
      <c r="J282" s="3016">
        <f t="shared" si="10"/>
        <v>3478</v>
      </c>
    </row>
    <row r="283" spans="1:10">
      <c r="A283" s="3275"/>
      <c r="B283" s="3283"/>
      <c r="C283" s="3245"/>
      <c r="D283" s="3016" t="s">
        <v>3789</v>
      </c>
      <c r="E283" s="3016"/>
      <c r="F283" s="3016">
        <v>426.69</v>
      </c>
      <c r="G283" s="3016"/>
      <c r="H283" s="3016"/>
      <c r="I283" s="3239"/>
      <c r="J283" s="3016">
        <f t="shared" si="10"/>
        <v>426.69</v>
      </c>
    </row>
    <row r="284" spans="1:10">
      <c r="A284" s="3275"/>
      <c r="B284" s="3283"/>
      <c r="C284" s="3245"/>
      <c r="D284" s="3016" t="s">
        <v>3790</v>
      </c>
      <c r="E284" s="3016"/>
      <c r="F284" s="3016">
        <v>426.69</v>
      </c>
      <c r="G284" s="3016"/>
      <c r="H284" s="3016"/>
      <c r="I284" s="3239"/>
      <c r="J284" s="3016">
        <f t="shared" si="10"/>
        <v>426.69</v>
      </c>
    </row>
    <row r="285" spans="1:10">
      <c r="A285" s="3275"/>
      <c r="B285" s="3283"/>
      <c r="C285" s="3245"/>
      <c r="D285" s="3016" t="s">
        <v>3791</v>
      </c>
      <c r="E285" s="3016"/>
      <c r="F285" s="3016">
        <v>451.36</v>
      </c>
      <c r="G285" s="3016"/>
      <c r="H285" s="3016"/>
      <c r="I285" s="3239"/>
      <c r="J285" s="3016">
        <f t="shared" si="10"/>
        <v>451.36</v>
      </c>
    </row>
    <row r="286" spans="1:10">
      <c r="A286" s="3275"/>
      <c r="B286" s="3283"/>
      <c r="C286" s="3245"/>
      <c r="D286" s="3016" t="s">
        <v>3792</v>
      </c>
      <c r="E286" s="3016"/>
      <c r="F286" s="3016">
        <v>451.36</v>
      </c>
      <c r="G286" s="3016"/>
      <c r="H286" s="3016"/>
      <c r="I286" s="3239"/>
      <c r="J286" s="3016">
        <f t="shared" si="10"/>
        <v>451.36</v>
      </c>
    </row>
    <row r="287" spans="1:10">
      <c r="A287" s="3275"/>
      <c r="B287" s="3283"/>
      <c r="C287" s="3245"/>
      <c r="D287" s="3016" t="s">
        <v>3793</v>
      </c>
      <c r="E287" s="3016"/>
      <c r="F287" s="3016">
        <v>2328.8000000000002</v>
      </c>
      <c r="G287" s="3016"/>
      <c r="H287" s="3016"/>
      <c r="I287" s="3239"/>
      <c r="J287" s="3016">
        <f t="shared" si="10"/>
        <v>2328.8000000000002</v>
      </c>
    </row>
    <row r="288" spans="1:10">
      <c r="A288" s="3275"/>
      <c r="B288" s="3283"/>
      <c r="C288" s="3245"/>
      <c r="D288" s="3016" t="s">
        <v>3794</v>
      </c>
      <c r="E288" s="3016"/>
      <c r="F288" s="3016">
        <v>3478</v>
      </c>
      <c r="G288" s="3016"/>
      <c r="H288" s="3016"/>
      <c r="I288" s="3239"/>
      <c r="J288" s="3016">
        <f t="shared" si="10"/>
        <v>3478</v>
      </c>
    </row>
    <row r="289" spans="1:10">
      <c r="A289" s="3275"/>
      <c r="B289" s="3283"/>
      <c r="C289" s="3245"/>
      <c r="D289" s="3016" t="s">
        <v>3795</v>
      </c>
      <c r="E289" s="3016"/>
      <c r="F289" s="3016">
        <v>1747.26</v>
      </c>
      <c r="G289" s="3016"/>
      <c r="H289" s="3016"/>
      <c r="I289" s="3239"/>
      <c r="J289" s="3016">
        <f t="shared" si="10"/>
        <v>1747.26</v>
      </c>
    </row>
    <row r="290" spans="1:10">
      <c r="A290" s="3275"/>
      <c r="B290" s="3283"/>
      <c r="C290" s="3245"/>
      <c r="D290" s="3016" t="s">
        <v>3796</v>
      </c>
      <c r="E290" s="3016"/>
      <c r="F290" s="3016">
        <v>1747.26</v>
      </c>
      <c r="G290" s="3016"/>
      <c r="H290" s="3016"/>
      <c r="I290" s="3240"/>
      <c r="J290" s="3016">
        <f t="shared" si="10"/>
        <v>1747.26</v>
      </c>
    </row>
    <row r="291" spans="1:10">
      <c r="A291" s="3275"/>
      <c r="B291" s="3283"/>
      <c r="C291" s="3245" t="s">
        <v>3797</v>
      </c>
      <c r="D291" s="3016" t="s">
        <v>3798</v>
      </c>
      <c r="E291" s="3016"/>
      <c r="F291" s="3016">
        <v>2711.77</v>
      </c>
      <c r="G291" s="3016"/>
      <c r="H291" s="3016"/>
      <c r="I291" s="3270">
        <v>32614.07</v>
      </c>
      <c r="J291" s="3016">
        <f t="shared" si="10"/>
        <v>2711.77</v>
      </c>
    </row>
    <row r="292" spans="1:10">
      <c r="A292" s="3275"/>
      <c r="B292" s="3283"/>
      <c r="C292" s="3245"/>
      <c r="D292" s="3016" t="s">
        <v>3799</v>
      </c>
      <c r="E292" s="3016"/>
      <c r="F292" s="3016">
        <v>2333.8200000000002</v>
      </c>
      <c r="G292" s="3016"/>
      <c r="H292" s="3016"/>
      <c r="I292" s="3239"/>
      <c r="J292" s="3016">
        <f t="shared" si="10"/>
        <v>2333.8200000000002</v>
      </c>
    </row>
    <row r="293" spans="1:10">
      <c r="A293" s="3275"/>
      <c r="B293" s="3283"/>
      <c r="C293" s="3245"/>
      <c r="D293" s="3016" t="s">
        <v>3800</v>
      </c>
      <c r="E293" s="3016"/>
      <c r="F293" s="3016">
        <v>2333.8200000000002</v>
      </c>
      <c r="G293" s="3016"/>
      <c r="H293" s="3016"/>
      <c r="I293" s="3239"/>
      <c r="J293" s="3016">
        <f t="shared" si="10"/>
        <v>2333.8200000000002</v>
      </c>
    </row>
    <row r="294" spans="1:10">
      <c r="A294" s="3275"/>
      <c r="B294" s="3283"/>
      <c r="C294" s="3245"/>
      <c r="D294" s="3016" t="s">
        <v>3801</v>
      </c>
      <c r="E294" s="3016"/>
      <c r="F294" s="3016">
        <v>2711.77</v>
      </c>
      <c r="G294" s="3016"/>
      <c r="H294" s="3016"/>
      <c r="I294" s="3239"/>
      <c r="J294" s="3016">
        <f t="shared" si="10"/>
        <v>2711.77</v>
      </c>
    </row>
    <row r="295" spans="1:10">
      <c r="A295" s="3275"/>
      <c r="B295" s="3283"/>
      <c r="C295" s="3245"/>
      <c r="D295" s="3016" t="s">
        <v>3802</v>
      </c>
      <c r="E295" s="3016"/>
      <c r="F295" s="3016">
        <v>2333.8200000000002</v>
      </c>
      <c r="G295" s="3016"/>
      <c r="H295" s="3016"/>
      <c r="I295" s="3239"/>
      <c r="J295" s="3016">
        <f t="shared" si="10"/>
        <v>2333.8200000000002</v>
      </c>
    </row>
    <row r="296" spans="1:10">
      <c r="A296" s="3275"/>
      <c r="B296" s="3283"/>
      <c r="C296" s="3245"/>
      <c r="D296" s="3016" t="s">
        <v>3803</v>
      </c>
      <c r="E296" s="3016"/>
      <c r="F296" s="3016">
        <v>2333.8200000000002</v>
      </c>
      <c r="G296" s="3016"/>
      <c r="H296" s="3016"/>
      <c r="I296" s="3239"/>
      <c r="J296" s="3016">
        <f t="shared" si="10"/>
        <v>2333.8200000000002</v>
      </c>
    </row>
    <row r="297" spans="1:10">
      <c r="A297" s="3275"/>
      <c r="B297" s="3283"/>
      <c r="C297" s="3245"/>
      <c r="D297" s="3016" t="s">
        <v>3804</v>
      </c>
      <c r="E297" s="3016"/>
      <c r="F297" s="3016">
        <v>2519.0100000000002</v>
      </c>
      <c r="G297" s="3016"/>
      <c r="H297" s="3016"/>
      <c r="I297" s="3239"/>
      <c r="J297" s="3016">
        <f t="shared" si="10"/>
        <v>2519.0100000000002</v>
      </c>
    </row>
    <row r="298" spans="1:10">
      <c r="A298" s="3275"/>
      <c r="B298" s="3283"/>
      <c r="C298" s="3245"/>
      <c r="D298" s="3016" t="s">
        <v>3805</v>
      </c>
      <c r="E298" s="3016"/>
      <c r="F298" s="3016">
        <v>2328.8000000000002</v>
      </c>
      <c r="G298" s="3016"/>
      <c r="H298" s="3016"/>
      <c r="I298" s="3239"/>
      <c r="J298" s="3016">
        <f t="shared" si="10"/>
        <v>2328.8000000000002</v>
      </c>
    </row>
    <row r="299" spans="1:10">
      <c r="A299" s="3275"/>
      <c r="B299" s="3283"/>
      <c r="C299" s="3245"/>
      <c r="D299" s="3016" t="s">
        <v>3806</v>
      </c>
      <c r="E299" s="3016"/>
      <c r="F299" s="3016">
        <v>2328.8000000000002</v>
      </c>
      <c r="G299" s="3016"/>
      <c r="H299" s="3016"/>
      <c r="I299" s="3239"/>
      <c r="J299" s="3016">
        <f t="shared" si="10"/>
        <v>2328.8000000000002</v>
      </c>
    </row>
    <row r="300" spans="1:10">
      <c r="A300" s="3275"/>
      <c r="B300" s="3283"/>
      <c r="C300" s="3245"/>
      <c r="D300" s="3016" t="s">
        <v>3807</v>
      </c>
      <c r="E300" s="3016"/>
      <c r="F300" s="3016">
        <v>2170.4</v>
      </c>
      <c r="G300" s="3016"/>
      <c r="H300" s="3016"/>
      <c r="I300" s="3239"/>
      <c r="J300" s="3016">
        <f t="shared" si="10"/>
        <v>2170.4</v>
      </c>
    </row>
    <row r="301" spans="1:10">
      <c r="A301" s="3275"/>
      <c r="B301" s="3283"/>
      <c r="C301" s="3245"/>
      <c r="D301" s="3016" t="s">
        <v>3808</v>
      </c>
      <c r="E301" s="3016"/>
      <c r="F301" s="3016">
        <v>2328.8000000000002</v>
      </c>
      <c r="G301" s="3016"/>
      <c r="H301" s="3016"/>
      <c r="I301" s="3239"/>
      <c r="J301" s="3016">
        <f t="shared" si="10"/>
        <v>2328.8000000000002</v>
      </c>
    </row>
    <row r="302" spans="1:10">
      <c r="A302" s="3275"/>
      <c r="B302" s="3283"/>
      <c r="C302" s="3245"/>
      <c r="D302" s="3016" t="s">
        <v>3809</v>
      </c>
      <c r="E302" s="3016"/>
      <c r="F302" s="3016">
        <v>1587.22</v>
      </c>
      <c r="G302" s="3016"/>
      <c r="H302" s="3016"/>
      <c r="I302" s="3239"/>
      <c r="J302" s="3016">
        <f t="shared" si="10"/>
        <v>1587.22</v>
      </c>
    </row>
    <row r="303" spans="1:10">
      <c r="A303" s="3275"/>
      <c r="B303" s="3283"/>
      <c r="C303" s="3245"/>
      <c r="D303" s="3016" t="s">
        <v>3810</v>
      </c>
      <c r="E303" s="3016"/>
      <c r="F303" s="3016">
        <v>716.39</v>
      </c>
      <c r="G303" s="3016"/>
      <c r="H303" s="3016"/>
      <c r="I303" s="3240"/>
      <c r="J303" s="3016">
        <f t="shared" si="10"/>
        <v>716.39</v>
      </c>
    </row>
    <row r="304" spans="1:10">
      <c r="A304" s="3275"/>
      <c r="B304" s="3283"/>
      <c r="C304" s="3283" t="s">
        <v>40</v>
      </c>
      <c r="D304" s="3283"/>
      <c r="E304" s="3041">
        <f>SUM(E280:E303)</f>
        <v>0</v>
      </c>
      <c r="F304" s="3041">
        <f>SUM(F280:F303)</f>
        <v>48749.580000000016</v>
      </c>
      <c r="G304" s="3041">
        <f>SUM(G280:G303)</f>
        <v>0</v>
      </c>
      <c r="H304" s="3041">
        <f>SUM(H280:H303)</f>
        <v>0</v>
      </c>
      <c r="I304" s="3295">
        <f>SUM(I280:I303)</f>
        <v>55477.07</v>
      </c>
      <c r="J304" s="3295">
        <f>E306+I304</f>
        <v>104226.65000000002</v>
      </c>
    </row>
    <row r="305" spans="1:10">
      <c r="A305" s="3275"/>
      <c r="B305" s="3283"/>
      <c r="C305" s="3283"/>
      <c r="D305" s="3283"/>
      <c r="E305" s="3283">
        <f>SUM(E304:G304)</f>
        <v>48749.580000000016</v>
      </c>
      <c r="F305" s="3283"/>
      <c r="G305" s="3283"/>
      <c r="H305" s="3041">
        <f>H304</f>
        <v>0</v>
      </c>
      <c r="I305" s="3296"/>
      <c r="J305" s="3296"/>
    </row>
    <row r="306" spans="1:10">
      <c r="A306" s="3275"/>
      <c r="B306" s="3283"/>
      <c r="C306" s="3283"/>
      <c r="D306" s="3283"/>
      <c r="E306" s="3283">
        <f>SUM(E305:H305)</f>
        <v>48749.580000000016</v>
      </c>
      <c r="F306" s="3283"/>
      <c r="G306" s="3283"/>
      <c r="H306" s="3283"/>
      <c r="I306" s="3297"/>
      <c r="J306" s="3297"/>
    </row>
    <row r="307" spans="1:10">
      <c r="A307" s="3275"/>
      <c r="B307" s="3245" t="s">
        <v>3529</v>
      </c>
      <c r="C307" s="3245"/>
      <c r="D307" s="3245"/>
      <c r="E307" s="3016" t="s">
        <v>3530</v>
      </c>
      <c r="F307" s="3016" t="s">
        <v>3625</v>
      </c>
      <c r="G307" s="3016" t="s">
        <v>3532</v>
      </c>
      <c r="H307" s="3016" t="s">
        <v>3533</v>
      </c>
      <c r="I307" s="3016" t="s">
        <v>3534</v>
      </c>
      <c r="J307" s="3016" t="s">
        <v>37</v>
      </c>
    </row>
    <row r="308" spans="1:10">
      <c r="A308" s="3275"/>
      <c r="B308" s="3285" t="s">
        <v>3811</v>
      </c>
      <c r="C308" s="3245" t="s">
        <v>3797</v>
      </c>
      <c r="D308" s="3016" t="s">
        <v>3812</v>
      </c>
      <c r="E308" s="3016"/>
      <c r="F308" s="3016">
        <v>3478</v>
      </c>
      <c r="G308" s="3016"/>
      <c r="H308" s="3016"/>
      <c r="I308" s="3270">
        <v>49225.15</v>
      </c>
      <c r="J308" s="3016">
        <f t="shared" ref="J308:J329" si="11">SUM(E308:H308)</f>
        <v>3478</v>
      </c>
    </row>
    <row r="309" spans="1:10">
      <c r="A309" s="3275"/>
      <c r="B309" s="3286"/>
      <c r="C309" s="3245"/>
      <c r="D309" s="3016" t="s">
        <v>3813</v>
      </c>
      <c r="E309" s="3016"/>
      <c r="F309" s="3016">
        <v>3478</v>
      </c>
      <c r="G309" s="3016"/>
      <c r="H309" s="3016"/>
      <c r="I309" s="3239"/>
      <c r="J309" s="3016">
        <f t="shared" si="11"/>
        <v>3478</v>
      </c>
    </row>
    <row r="310" spans="1:10">
      <c r="A310" s="3275"/>
      <c r="B310" s="3286"/>
      <c r="C310" s="3245"/>
      <c r="D310" s="3016" t="s">
        <v>3814</v>
      </c>
      <c r="E310" s="3016"/>
      <c r="F310" s="3016">
        <v>3478</v>
      </c>
      <c r="G310" s="3016"/>
      <c r="H310" s="3016"/>
      <c r="I310" s="3239"/>
      <c r="J310" s="3016">
        <f t="shared" si="11"/>
        <v>3478</v>
      </c>
    </row>
    <row r="311" spans="1:10">
      <c r="A311" s="3275"/>
      <c r="B311" s="3286"/>
      <c r="C311" s="3245"/>
      <c r="D311" s="3016" t="s">
        <v>3815</v>
      </c>
      <c r="E311" s="3016"/>
      <c r="F311" s="3016">
        <v>2614</v>
      </c>
      <c r="G311" s="3016"/>
      <c r="H311" s="3016"/>
      <c r="I311" s="3239"/>
      <c r="J311" s="3016">
        <f t="shared" si="11"/>
        <v>2614</v>
      </c>
    </row>
    <row r="312" spans="1:10">
      <c r="A312" s="3275"/>
      <c r="B312" s="3286"/>
      <c r="C312" s="3245"/>
      <c r="D312" s="3016" t="s">
        <v>3816</v>
      </c>
      <c r="E312" s="3016"/>
      <c r="F312" s="3016">
        <v>2328.8000000000002</v>
      </c>
      <c r="G312" s="3016"/>
      <c r="H312" s="3016"/>
      <c r="I312" s="3239"/>
      <c r="J312" s="3016">
        <f t="shared" si="11"/>
        <v>2328.8000000000002</v>
      </c>
    </row>
    <row r="313" spans="1:10">
      <c r="A313" s="3275"/>
      <c r="B313" s="3286"/>
      <c r="C313" s="3245"/>
      <c r="D313" s="3016" t="s">
        <v>3817</v>
      </c>
      <c r="E313" s="3016"/>
      <c r="F313" s="3016">
        <v>1424.26</v>
      </c>
      <c r="G313" s="3016"/>
      <c r="H313" s="3016"/>
      <c r="I313" s="3239"/>
      <c r="J313" s="3016">
        <f t="shared" si="11"/>
        <v>1424.26</v>
      </c>
    </row>
    <row r="314" spans="1:10">
      <c r="A314" s="3275"/>
      <c r="B314" s="3286"/>
      <c r="C314" s="3245"/>
      <c r="D314" s="3016" t="s">
        <v>3818</v>
      </c>
      <c r="E314" s="3016"/>
      <c r="F314" s="3016">
        <v>1424.26</v>
      </c>
      <c r="G314" s="3016"/>
      <c r="H314" s="3016"/>
      <c r="I314" s="3239"/>
      <c r="J314" s="3016">
        <f t="shared" si="11"/>
        <v>1424.26</v>
      </c>
    </row>
    <row r="315" spans="1:10">
      <c r="A315" s="3275"/>
      <c r="B315" s="3286"/>
      <c r="C315" s="3245"/>
      <c r="D315" s="3016" t="s">
        <v>3819</v>
      </c>
      <c r="E315" s="3016"/>
      <c r="F315" s="3016">
        <v>1424.26</v>
      </c>
      <c r="G315" s="3016"/>
      <c r="H315" s="3016"/>
      <c r="I315" s="3239"/>
      <c r="J315" s="3016">
        <f t="shared" si="11"/>
        <v>1424.26</v>
      </c>
    </row>
    <row r="316" spans="1:10">
      <c r="A316" s="3275"/>
      <c r="B316" s="3286"/>
      <c r="C316" s="3245"/>
      <c r="D316" s="3016" t="s">
        <v>3820</v>
      </c>
      <c r="E316" s="3016"/>
      <c r="F316" s="3016">
        <v>1424.26</v>
      </c>
      <c r="G316" s="3016"/>
      <c r="H316" s="3016"/>
      <c r="I316" s="3239"/>
      <c r="J316" s="3016">
        <f t="shared" si="11"/>
        <v>1424.26</v>
      </c>
    </row>
    <row r="317" spans="1:10">
      <c r="A317" s="3275"/>
      <c r="B317" s="3286"/>
      <c r="C317" s="3245"/>
      <c r="D317" s="3016" t="s">
        <v>3821</v>
      </c>
      <c r="E317" s="3016"/>
      <c r="F317" s="3016">
        <v>1424.26</v>
      </c>
      <c r="G317" s="3016"/>
      <c r="H317" s="3016"/>
      <c r="I317" s="3239"/>
      <c r="J317" s="3016">
        <f t="shared" si="11"/>
        <v>1424.26</v>
      </c>
    </row>
    <row r="318" spans="1:10">
      <c r="A318" s="3275"/>
      <c r="B318" s="3286"/>
      <c r="C318" s="3245"/>
      <c r="D318" s="3016" t="s">
        <v>3822</v>
      </c>
      <c r="E318" s="3016"/>
      <c r="F318" s="3016">
        <v>730.04</v>
      </c>
      <c r="G318" s="3016"/>
      <c r="H318" s="3016"/>
      <c r="I318" s="3239"/>
      <c r="J318" s="3016">
        <f t="shared" si="11"/>
        <v>730.04</v>
      </c>
    </row>
    <row r="319" spans="1:10">
      <c r="A319" s="3275"/>
      <c r="B319" s="3286"/>
      <c r="C319" s="3245"/>
      <c r="D319" s="3016" t="s">
        <v>3823</v>
      </c>
      <c r="E319" s="3016"/>
      <c r="F319" s="3016">
        <v>3478</v>
      </c>
      <c r="G319" s="3016"/>
      <c r="H319" s="3016"/>
      <c r="I319" s="3239"/>
      <c r="J319" s="3016">
        <f t="shared" si="11"/>
        <v>3478</v>
      </c>
    </row>
    <row r="320" spans="1:10">
      <c r="A320" s="3275"/>
      <c r="B320" s="3286"/>
      <c r="C320" s="3245"/>
      <c r="D320" s="3016" t="s">
        <v>3824</v>
      </c>
      <c r="E320" s="3016"/>
      <c r="F320" s="3016">
        <v>3478</v>
      </c>
      <c r="G320" s="3016"/>
      <c r="H320" s="3016"/>
      <c r="I320" s="3239"/>
      <c r="J320" s="3016">
        <f t="shared" si="11"/>
        <v>3478</v>
      </c>
    </row>
    <row r="321" spans="1:10">
      <c r="A321" s="3275"/>
      <c r="B321" s="3286"/>
      <c r="C321" s="3245"/>
      <c r="D321" s="3016" t="s">
        <v>3825</v>
      </c>
      <c r="E321" s="3016"/>
      <c r="F321" s="3016">
        <v>3478</v>
      </c>
      <c r="G321" s="3016"/>
      <c r="H321" s="3016"/>
      <c r="I321" s="3239"/>
      <c r="J321" s="3016">
        <f t="shared" si="11"/>
        <v>3478</v>
      </c>
    </row>
    <row r="322" spans="1:10">
      <c r="A322" s="3275"/>
      <c r="B322" s="3286"/>
      <c r="C322" s="3245"/>
      <c r="D322" s="3016" t="s">
        <v>3826</v>
      </c>
      <c r="E322" s="3016"/>
      <c r="F322" s="3016">
        <v>1424.26</v>
      </c>
      <c r="G322" s="3016"/>
      <c r="H322" s="3016"/>
      <c r="I322" s="3239"/>
      <c r="J322" s="3016">
        <f t="shared" si="11"/>
        <v>1424.26</v>
      </c>
    </row>
    <row r="323" spans="1:10">
      <c r="A323" s="3275"/>
      <c r="B323" s="3286"/>
      <c r="C323" s="3245"/>
      <c r="D323" s="3029" t="s">
        <v>3827</v>
      </c>
      <c r="E323" s="3029"/>
      <c r="F323" s="3029"/>
      <c r="G323" s="3035">
        <f>897.8-H323</f>
        <v>236.05999999999995</v>
      </c>
      <c r="H323" s="3030">
        <v>661.74</v>
      </c>
      <c r="I323" s="3239"/>
      <c r="J323" s="3016">
        <f t="shared" si="11"/>
        <v>897.8</v>
      </c>
    </row>
    <row r="324" spans="1:10">
      <c r="A324" s="3275"/>
      <c r="B324" s="3286"/>
      <c r="C324" s="3245"/>
      <c r="D324" s="3016" t="s">
        <v>3828</v>
      </c>
      <c r="E324" s="3016"/>
      <c r="F324" s="3016">
        <v>1483.12</v>
      </c>
      <c r="G324" s="3016"/>
      <c r="H324" s="3016"/>
      <c r="I324" s="3239"/>
      <c r="J324" s="3016">
        <f t="shared" si="11"/>
        <v>1483.12</v>
      </c>
    </row>
    <row r="325" spans="1:10">
      <c r="A325" s="3275"/>
      <c r="B325" s="3286"/>
      <c r="C325" s="3245"/>
      <c r="D325" s="3016" t="s">
        <v>3829</v>
      </c>
      <c r="E325" s="3016"/>
      <c r="F325" s="3016">
        <v>2984.64</v>
      </c>
      <c r="G325" s="3016"/>
      <c r="H325" s="3016"/>
      <c r="I325" s="3239"/>
      <c r="J325" s="3016">
        <f t="shared" si="11"/>
        <v>2984.64</v>
      </c>
    </row>
    <row r="326" spans="1:10">
      <c r="A326" s="3275"/>
      <c r="B326" s="3286"/>
      <c r="C326" s="3245"/>
      <c r="D326" s="3016" t="s">
        <v>3830</v>
      </c>
      <c r="E326" s="3016"/>
      <c r="F326" s="3016">
        <v>2984.64</v>
      </c>
      <c r="G326" s="3016"/>
      <c r="H326" s="3016"/>
      <c r="I326" s="3239"/>
      <c r="J326" s="3016">
        <f t="shared" si="11"/>
        <v>2984.64</v>
      </c>
    </row>
    <row r="327" spans="1:10">
      <c r="A327" s="3275"/>
      <c r="B327" s="3286"/>
      <c r="C327" s="3245"/>
      <c r="D327" s="3016" t="s">
        <v>3831</v>
      </c>
      <c r="E327" s="3016"/>
      <c r="F327" s="3016">
        <v>3478</v>
      </c>
      <c r="G327" s="3016"/>
      <c r="H327" s="3016"/>
      <c r="I327" s="3239"/>
      <c r="J327" s="3016">
        <f t="shared" si="11"/>
        <v>3478</v>
      </c>
    </row>
    <row r="328" spans="1:10">
      <c r="A328" s="3275"/>
      <c r="B328" s="3286"/>
      <c r="C328" s="3245"/>
      <c r="D328" s="3016" t="s">
        <v>3832</v>
      </c>
      <c r="E328" s="3016"/>
      <c r="F328" s="3016">
        <v>3478</v>
      </c>
      <c r="G328" s="3016"/>
      <c r="H328" s="3016"/>
      <c r="I328" s="3239"/>
      <c r="J328" s="3016">
        <f t="shared" si="11"/>
        <v>3478</v>
      </c>
    </row>
    <row r="329" spans="1:10">
      <c r="A329" s="3275"/>
      <c r="B329" s="3286"/>
      <c r="C329" s="3245"/>
      <c r="D329" s="3029" t="s">
        <v>3833</v>
      </c>
      <c r="E329" s="3029"/>
      <c r="F329" s="3029"/>
      <c r="G329" s="3029"/>
      <c r="H329" s="3035">
        <v>105</v>
      </c>
      <c r="I329" s="3240"/>
      <c r="J329" s="3016">
        <f t="shared" si="11"/>
        <v>105</v>
      </c>
    </row>
    <row r="330" spans="1:10">
      <c r="A330" s="3275"/>
      <c r="B330" s="3286"/>
      <c r="C330" s="3298" t="s">
        <v>40</v>
      </c>
      <c r="D330" s="3299"/>
      <c r="E330" s="3036">
        <f>SUM(E308:E329)</f>
        <v>0</v>
      </c>
      <c r="F330" s="3036">
        <f>SUM(F308:F329)</f>
        <v>49494.799999999996</v>
      </c>
      <c r="G330" s="3036">
        <f>SUM(G308:G329)</f>
        <v>236.05999999999995</v>
      </c>
      <c r="H330" s="3036">
        <f>SUM(H308:H329)</f>
        <v>766.74</v>
      </c>
      <c r="I330" s="3285">
        <f>SUM(I308)</f>
        <v>49225.15</v>
      </c>
      <c r="J330" s="3285">
        <f>E332+I330</f>
        <v>99722.75</v>
      </c>
    </row>
    <row r="331" spans="1:10">
      <c r="A331" s="3275"/>
      <c r="B331" s="3286"/>
      <c r="C331" s="3300"/>
      <c r="D331" s="3301"/>
      <c r="E331" s="3284">
        <f>SUM(E330:G330)</f>
        <v>49730.859999999993</v>
      </c>
      <c r="F331" s="3284"/>
      <c r="G331" s="3284"/>
      <c r="H331" s="3036">
        <f>H330</f>
        <v>766.74</v>
      </c>
      <c r="I331" s="3286"/>
      <c r="J331" s="3286"/>
    </row>
    <row r="332" spans="1:10">
      <c r="A332" s="3275"/>
      <c r="B332" s="3287"/>
      <c r="C332" s="3302"/>
      <c r="D332" s="3303"/>
      <c r="E332" s="3304">
        <f>SUM(E331:H331)</f>
        <v>50497.599999999991</v>
      </c>
      <c r="F332" s="3305"/>
      <c r="G332" s="3305"/>
      <c r="H332" s="3306"/>
      <c r="I332" s="3287"/>
      <c r="J332" s="3287"/>
    </row>
    <row r="333" spans="1:10">
      <c r="A333" s="3275"/>
      <c r="B333" s="3245" t="s">
        <v>3529</v>
      </c>
      <c r="C333" s="3245"/>
      <c r="D333" s="3245"/>
      <c r="E333" s="3016" t="s">
        <v>3530</v>
      </c>
      <c r="F333" s="3016" t="s">
        <v>3625</v>
      </c>
      <c r="G333" s="3016" t="s">
        <v>3532</v>
      </c>
      <c r="H333" s="3016" t="s">
        <v>3533</v>
      </c>
      <c r="I333" s="3016" t="s">
        <v>3534</v>
      </c>
      <c r="J333" s="3016" t="s">
        <v>37</v>
      </c>
    </row>
    <row r="334" spans="1:10">
      <c r="A334" s="3275"/>
      <c r="B334" s="3256" t="s">
        <v>3834</v>
      </c>
      <c r="C334" s="3245" t="s">
        <v>3797</v>
      </c>
      <c r="D334" s="3016" t="s">
        <v>3835</v>
      </c>
      <c r="E334" s="3016"/>
      <c r="F334" s="3016">
        <v>1424.26</v>
      </c>
      <c r="G334" s="3016"/>
      <c r="H334" s="3016"/>
      <c r="I334" s="3270">
        <v>42037.72</v>
      </c>
      <c r="J334" s="3016">
        <f t="shared" ref="J334:J351" si="12">SUM(E334:H334)</f>
        <v>1424.26</v>
      </c>
    </row>
    <row r="335" spans="1:10">
      <c r="A335" s="3275"/>
      <c r="B335" s="3256"/>
      <c r="C335" s="3245"/>
      <c r="D335" s="3016" t="s">
        <v>3836</v>
      </c>
      <c r="E335" s="3016"/>
      <c r="F335" s="3016">
        <v>1424.26</v>
      </c>
      <c r="G335" s="3016"/>
      <c r="H335" s="3016"/>
      <c r="I335" s="3239"/>
      <c r="J335" s="3016">
        <f t="shared" si="12"/>
        <v>1424.26</v>
      </c>
    </row>
    <row r="336" spans="1:10">
      <c r="A336" s="3275"/>
      <c r="B336" s="3256"/>
      <c r="C336" s="3245"/>
      <c r="D336" s="3016" t="s">
        <v>3837</v>
      </c>
      <c r="E336" s="3016"/>
      <c r="F336" s="3016">
        <v>1424.26</v>
      </c>
      <c r="G336" s="3016"/>
      <c r="H336" s="3016"/>
      <c r="I336" s="3239"/>
      <c r="J336" s="3016">
        <f t="shared" si="12"/>
        <v>1424.26</v>
      </c>
    </row>
    <row r="337" spans="1:10">
      <c r="A337" s="3275"/>
      <c r="B337" s="3256"/>
      <c r="C337" s="3245"/>
      <c r="D337" s="3016" t="s">
        <v>3838</v>
      </c>
      <c r="E337" s="3016"/>
      <c r="F337" s="3016">
        <v>1424.26</v>
      </c>
      <c r="G337" s="3016"/>
      <c r="H337" s="3016"/>
      <c r="I337" s="3239"/>
      <c r="J337" s="3016">
        <f t="shared" si="12"/>
        <v>1424.26</v>
      </c>
    </row>
    <row r="338" spans="1:10">
      <c r="A338" s="3275"/>
      <c r="B338" s="3256"/>
      <c r="C338" s="3245"/>
      <c r="D338" s="3016" t="s">
        <v>3839</v>
      </c>
      <c r="E338" s="3016"/>
      <c r="F338" s="3016">
        <v>1424.26</v>
      </c>
      <c r="G338" s="3016"/>
      <c r="H338" s="3016"/>
      <c r="I338" s="3239"/>
      <c r="J338" s="3016">
        <f t="shared" si="12"/>
        <v>1424.26</v>
      </c>
    </row>
    <row r="339" spans="1:10">
      <c r="A339" s="3275"/>
      <c r="B339" s="3256"/>
      <c r="C339" s="3245"/>
      <c r="D339" s="3016" t="s">
        <v>3840</v>
      </c>
      <c r="E339" s="3016"/>
      <c r="F339" s="3016">
        <v>1424.26</v>
      </c>
      <c r="G339" s="3016"/>
      <c r="H339" s="3016"/>
      <c r="I339" s="3239"/>
      <c r="J339" s="3016">
        <f t="shared" si="12"/>
        <v>1424.26</v>
      </c>
    </row>
    <row r="340" spans="1:10">
      <c r="A340" s="3275"/>
      <c r="B340" s="3256"/>
      <c r="C340" s="3245"/>
      <c r="D340" s="3016" t="s">
        <v>3841</v>
      </c>
      <c r="E340" s="3016"/>
      <c r="F340" s="3016">
        <v>1424.26</v>
      </c>
      <c r="G340" s="3016"/>
      <c r="H340" s="3016"/>
      <c r="I340" s="3239"/>
      <c r="J340" s="3016">
        <f t="shared" si="12"/>
        <v>1424.26</v>
      </c>
    </row>
    <row r="341" spans="1:10">
      <c r="A341" s="3275"/>
      <c r="B341" s="3256"/>
      <c r="C341" s="3245"/>
      <c r="D341" s="3016" t="s">
        <v>3842</v>
      </c>
      <c r="E341" s="3016"/>
      <c r="F341" s="3016">
        <v>1424.26</v>
      </c>
      <c r="G341" s="3016"/>
      <c r="H341" s="3016"/>
      <c r="I341" s="3239"/>
      <c r="J341" s="3016">
        <f t="shared" si="12"/>
        <v>1424.26</v>
      </c>
    </row>
    <row r="342" spans="1:10">
      <c r="A342" s="3275"/>
      <c r="B342" s="3256"/>
      <c r="C342" s="3245"/>
      <c r="D342" s="3016" t="s">
        <v>3843</v>
      </c>
      <c r="E342" s="3016"/>
      <c r="F342" s="3016">
        <v>730.04</v>
      </c>
      <c r="G342" s="3016"/>
      <c r="H342" s="3016"/>
      <c r="I342" s="3239"/>
      <c r="J342" s="3016">
        <f t="shared" si="12"/>
        <v>730.04</v>
      </c>
    </row>
    <row r="343" spans="1:10">
      <c r="A343" s="3275"/>
      <c r="B343" s="3256"/>
      <c r="C343" s="3245"/>
      <c r="D343" s="3016" t="s">
        <v>3844</v>
      </c>
      <c r="E343" s="3016"/>
      <c r="F343" s="3016">
        <v>2984.64</v>
      </c>
      <c r="G343" s="3016"/>
      <c r="H343" s="3016"/>
      <c r="I343" s="3239"/>
      <c r="J343" s="3016">
        <f t="shared" si="12"/>
        <v>2984.64</v>
      </c>
    </row>
    <row r="344" spans="1:10">
      <c r="A344" s="3275"/>
      <c r="B344" s="3256"/>
      <c r="C344" s="3245"/>
      <c r="D344" s="3016" t="s">
        <v>3845</v>
      </c>
      <c r="E344" s="3016"/>
      <c r="F344" s="3016">
        <v>2984.64</v>
      </c>
      <c r="G344" s="3016"/>
      <c r="H344" s="3016"/>
      <c r="I344" s="3239"/>
      <c r="J344" s="3016">
        <f t="shared" si="12"/>
        <v>2984.64</v>
      </c>
    </row>
    <row r="345" spans="1:10">
      <c r="A345" s="3275"/>
      <c r="B345" s="3256"/>
      <c r="C345" s="3245"/>
      <c r="D345" s="3016" t="s">
        <v>3846</v>
      </c>
      <c r="E345" s="3016"/>
      <c r="F345" s="3016">
        <v>2984.64</v>
      </c>
      <c r="G345" s="3016"/>
      <c r="H345" s="3016"/>
      <c r="I345" s="3239"/>
      <c r="J345" s="3016">
        <f t="shared" si="12"/>
        <v>2984.64</v>
      </c>
    </row>
    <row r="346" spans="1:10">
      <c r="A346" s="3275"/>
      <c r="B346" s="3256"/>
      <c r="C346" s="3245"/>
      <c r="D346" s="3016" t="s">
        <v>3847</v>
      </c>
      <c r="E346" s="3016"/>
      <c r="F346" s="3016">
        <v>2984.64</v>
      </c>
      <c r="G346" s="3016"/>
      <c r="H346" s="3016"/>
      <c r="I346" s="3239"/>
      <c r="J346" s="3016">
        <f t="shared" si="12"/>
        <v>2984.64</v>
      </c>
    </row>
    <row r="347" spans="1:10">
      <c r="A347" s="3275"/>
      <c r="B347" s="3256"/>
      <c r="C347" s="3245"/>
      <c r="D347" s="3016" t="s">
        <v>3848</v>
      </c>
      <c r="E347" s="3016"/>
      <c r="F347" s="3016">
        <v>3478</v>
      </c>
      <c r="G347" s="3016"/>
      <c r="H347" s="3016"/>
      <c r="I347" s="3239"/>
      <c r="J347" s="3016">
        <f t="shared" si="12"/>
        <v>3478</v>
      </c>
    </row>
    <row r="348" spans="1:10">
      <c r="A348" s="3275"/>
      <c r="B348" s="3256"/>
      <c r="C348" s="3245"/>
      <c r="D348" s="3016" t="s">
        <v>3849</v>
      </c>
      <c r="E348" s="3016"/>
      <c r="F348" s="3016">
        <v>3478</v>
      </c>
      <c r="G348" s="3016"/>
      <c r="H348" s="3016"/>
      <c r="I348" s="3239"/>
      <c r="J348" s="3016">
        <f t="shared" si="12"/>
        <v>3478</v>
      </c>
    </row>
    <row r="349" spans="1:10">
      <c r="A349" s="3275"/>
      <c r="B349" s="3256"/>
      <c r="C349" s="3245"/>
      <c r="D349" s="3016" t="s">
        <v>3850</v>
      </c>
      <c r="E349" s="3016"/>
      <c r="F349" s="3016">
        <v>3478</v>
      </c>
      <c r="G349" s="3016"/>
      <c r="H349" s="3016"/>
      <c r="I349" s="3239"/>
      <c r="J349" s="3016">
        <f t="shared" si="12"/>
        <v>3478</v>
      </c>
    </row>
    <row r="350" spans="1:10">
      <c r="A350" s="3275"/>
      <c r="B350" s="3256"/>
      <c r="C350" s="3245"/>
      <c r="D350" s="3016" t="s">
        <v>3851</v>
      </c>
      <c r="E350" s="3016"/>
      <c r="F350" s="3016">
        <v>3478</v>
      </c>
      <c r="G350" s="3016"/>
      <c r="H350" s="3016"/>
      <c r="I350" s="3239"/>
      <c r="J350" s="3016">
        <f t="shared" si="12"/>
        <v>3478</v>
      </c>
    </row>
    <row r="351" spans="1:10">
      <c r="A351" s="3275"/>
      <c r="B351" s="3256"/>
      <c r="C351" s="3245"/>
      <c r="D351" s="3016" t="s">
        <v>3852</v>
      </c>
      <c r="E351" s="3016"/>
      <c r="F351" s="3016">
        <v>2984.64</v>
      </c>
      <c r="G351" s="3016"/>
      <c r="H351" s="3016"/>
      <c r="I351" s="3240"/>
      <c r="J351" s="3016">
        <f t="shared" si="12"/>
        <v>2984.64</v>
      </c>
    </row>
    <row r="352" spans="1:10">
      <c r="A352" s="3275"/>
      <c r="B352" s="3256"/>
      <c r="C352" s="3245" t="s">
        <v>40</v>
      </c>
      <c r="D352" s="3245"/>
      <c r="E352" s="3016">
        <f>SUM(E334:E351)</f>
        <v>0</v>
      </c>
      <c r="F352" s="3016">
        <f>SUM(F334:F351)</f>
        <v>40959.319999999992</v>
      </c>
      <c r="G352" s="3016">
        <f>SUM(G334:G351)</f>
        <v>0</v>
      </c>
      <c r="H352" s="3016">
        <f>SUM(H334:H351)</f>
        <v>0</v>
      </c>
      <c r="I352" s="3270">
        <f>I334</f>
        <v>42037.72</v>
      </c>
      <c r="J352" s="3270">
        <f>E354+I352</f>
        <v>82997.039999999994</v>
      </c>
    </row>
    <row r="353" spans="1:10">
      <c r="A353" s="3275"/>
      <c r="B353" s="3256"/>
      <c r="C353" s="3245"/>
      <c r="D353" s="3245"/>
      <c r="E353" s="3245">
        <f>SUM(E352:G352)</f>
        <v>40959.319999999992</v>
      </c>
      <c r="F353" s="3245"/>
      <c r="G353" s="3245"/>
      <c r="H353" s="3016">
        <f>H352</f>
        <v>0</v>
      </c>
      <c r="I353" s="3239"/>
      <c r="J353" s="3239"/>
    </row>
    <row r="354" spans="1:10">
      <c r="A354" s="3275"/>
      <c r="B354" s="3256"/>
      <c r="C354" s="3245"/>
      <c r="D354" s="3245"/>
      <c r="E354" s="3245">
        <f>SUM(E353:H353)</f>
        <v>40959.319999999992</v>
      </c>
      <c r="F354" s="3245"/>
      <c r="G354" s="3245"/>
      <c r="H354" s="3245"/>
      <c r="I354" s="3240"/>
      <c r="J354" s="3240"/>
    </row>
    <row r="355" spans="1:10">
      <c r="A355" s="3275"/>
      <c r="B355" s="3256" t="s">
        <v>3623</v>
      </c>
      <c r="C355" s="3256"/>
      <c r="D355" s="3256"/>
      <c r="E355" s="3026">
        <f t="shared" ref="E355:J355" si="13">E149+E176+E195+E221+E251+E276+E304+E330+E352</f>
        <v>103912.255</v>
      </c>
      <c r="F355" s="3026">
        <f t="shared" si="13"/>
        <v>320135.80600000004</v>
      </c>
      <c r="G355" s="3026">
        <f t="shared" si="13"/>
        <v>55030.280000000006</v>
      </c>
      <c r="H355" s="3026">
        <f t="shared" si="13"/>
        <v>14085.699999999999</v>
      </c>
      <c r="I355" s="3257">
        <f t="shared" si="13"/>
        <v>423713.28000000003</v>
      </c>
      <c r="J355" s="3257">
        <f t="shared" si="13"/>
        <v>916877.32100000011</v>
      </c>
    </row>
    <row r="356" spans="1:10">
      <c r="A356" s="3275"/>
      <c r="B356" s="3256"/>
      <c r="C356" s="3256"/>
      <c r="D356" s="3256"/>
      <c r="E356" s="3256">
        <f>E150+E177+E196+E222+E252+E277+E305+E331+E353</f>
        <v>479078.34100000001</v>
      </c>
      <c r="F356" s="3256"/>
      <c r="G356" s="3256"/>
      <c r="H356" s="3026"/>
      <c r="I356" s="3258"/>
      <c r="J356" s="3258"/>
    </row>
    <row r="357" spans="1:10">
      <c r="A357" s="3275"/>
      <c r="B357" s="3256"/>
      <c r="C357" s="3256"/>
      <c r="D357" s="3256"/>
      <c r="E357" s="3256">
        <f>SUM(E356+H355)</f>
        <v>493164.04100000003</v>
      </c>
      <c r="F357" s="3256"/>
      <c r="G357" s="3256"/>
      <c r="H357" s="3256"/>
      <c r="I357" s="3259"/>
      <c r="J357" s="3259"/>
    </row>
    <row r="358" spans="1:10">
      <c r="A358" s="3319" t="s">
        <v>3853</v>
      </c>
      <c r="B358" s="3234" t="s">
        <v>3523</v>
      </c>
      <c r="C358" s="3234"/>
      <c r="D358" s="3234"/>
      <c r="E358" s="3234" t="s">
        <v>3524</v>
      </c>
      <c r="F358" s="3234"/>
      <c r="G358" s="3234"/>
      <c r="H358" s="3234"/>
      <c r="I358" s="3012" t="s">
        <v>3525</v>
      </c>
      <c r="J358" s="3234" t="s">
        <v>37</v>
      </c>
    </row>
    <row r="359" spans="1:10">
      <c r="A359" s="3320"/>
      <c r="B359" s="3235" t="s">
        <v>3526</v>
      </c>
      <c r="C359" s="3235"/>
      <c r="D359" s="3235"/>
      <c r="E359" s="3235" t="s">
        <v>3527</v>
      </c>
      <c r="F359" s="3235"/>
      <c r="G359" s="3235"/>
      <c r="H359" s="3235" t="s">
        <v>3528</v>
      </c>
      <c r="I359" s="3235"/>
      <c r="J359" s="3234"/>
    </row>
    <row r="360" spans="1:10">
      <c r="A360" s="3320"/>
      <c r="B360" s="3236" t="s">
        <v>3529</v>
      </c>
      <c r="C360" s="3236"/>
      <c r="D360" s="3236"/>
      <c r="E360" s="3013" t="s">
        <v>3530</v>
      </c>
      <c r="F360" s="3013" t="s">
        <v>3625</v>
      </c>
      <c r="G360" s="3013" t="s">
        <v>3532</v>
      </c>
      <c r="H360" s="3013" t="s">
        <v>3533</v>
      </c>
      <c r="I360" s="3013" t="s">
        <v>3534</v>
      </c>
      <c r="J360" s="3234"/>
    </row>
    <row r="361" spans="1:10">
      <c r="A361" s="3320"/>
      <c r="B361" s="3237" t="s">
        <v>3854</v>
      </c>
      <c r="C361" s="3238" t="s">
        <v>3855</v>
      </c>
      <c r="D361" s="3029" t="s">
        <v>3856</v>
      </c>
      <c r="E361" s="3029"/>
      <c r="F361" s="3029"/>
      <c r="G361" s="3042">
        <v>879.62</v>
      </c>
      <c r="H361" s="3029"/>
      <c r="I361" s="3245">
        <v>26757.7</v>
      </c>
      <c r="J361" s="3109">
        <f t="shared" ref="J361:J382" si="14">SUM(E361:H361)</f>
        <v>879.62</v>
      </c>
    </row>
    <row r="362" spans="1:10">
      <c r="A362" s="3320"/>
      <c r="B362" s="3231"/>
      <c r="C362" s="3268"/>
      <c r="D362" s="3029" t="s">
        <v>3857</v>
      </c>
      <c r="E362" s="3029"/>
      <c r="F362" s="3029"/>
      <c r="G362" s="3029"/>
      <c r="H362" s="3030">
        <v>1536</v>
      </c>
      <c r="I362" s="3245"/>
      <c r="J362" s="3109">
        <f t="shared" si="14"/>
        <v>1536</v>
      </c>
    </row>
    <row r="363" spans="1:10">
      <c r="A363" s="3320"/>
      <c r="B363" s="3231"/>
      <c r="C363" s="3268"/>
      <c r="D363" s="3110" t="s">
        <v>3858</v>
      </c>
      <c r="E363" s="3109">
        <v>21106.185000000001</v>
      </c>
      <c r="F363" s="3109"/>
      <c r="G363" s="3109"/>
      <c r="H363" s="3109"/>
      <c r="I363" s="3245"/>
      <c r="J363" s="3109">
        <f t="shared" si="14"/>
        <v>21106.185000000001</v>
      </c>
    </row>
    <row r="364" spans="1:10">
      <c r="A364" s="3320"/>
      <c r="B364" s="3231"/>
      <c r="C364" s="3268"/>
      <c r="D364" s="3110" t="s">
        <v>3859</v>
      </c>
      <c r="E364" s="3109">
        <v>11015.88</v>
      </c>
      <c r="F364" s="3109"/>
      <c r="G364" s="3109"/>
      <c r="H364" s="3109"/>
      <c r="I364" s="3245"/>
      <c r="J364" s="3109">
        <f t="shared" si="14"/>
        <v>11015.88</v>
      </c>
    </row>
    <row r="365" spans="1:10">
      <c r="A365" s="3320"/>
      <c r="B365" s="3231"/>
      <c r="C365" s="3268"/>
      <c r="D365" s="3110" t="s">
        <v>3860</v>
      </c>
      <c r="E365" s="3109">
        <v>21106.185000000001</v>
      </c>
      <c r="F365" s="3109"/>
      <c r="G365" s="3109"/>
      <c r="H365" s="3109"/>
      <c r="I365" s="3245"/>
      <c r="J365" s="3109">
        <f t="shared" si="14"/>
        <v>21106.185000000001</v>
      </c>
    </row>
    <row r="366" spans="1:10">
      <c r="A366" s="3320"/>
      <c r="B366" s="3231"/>
      <c r="C366" s="3268"/>
      <c r="D366" s="3110" t="s">
        <v>3861</v>
      </c>
      <c r="E366" s="3109">
        <v>10986.65</v>
      </c>
      <c r="F366" s="3109"/>
      <c r="G366" s="3109"/>
      <c r="H366" s="3109"/>
      <c r="I366" s="3245"/>
      <c r="J366" s="3109">
        <f t="shared" si="14"/>
        <v>10986.65</v>
      </c>
    </row>
    <row r="367" spans="1:10">
      <c r="A367" s="3320"/>
      <c r="B367" s="3231"/>
      <c r="C367" s="3268"/>
      <c r="D367" s="3029" t="s">
        <v>3862</v>
      </c>
      <c r="E367" s="3029">
        <v>11027.57</v>
      </c>
      <c r="F367" s="3029"/>
      <c r="G367" s="3029">
        <f>903.59-H367</f>
        <v>777.98</v>
      </c>
      <c r="H367" s="3030">
        <v>125.61</v>
      </c>
      <c r="I367" s="3245"/>
      <c r="J367" s="3109">
        <f t="shared" si="14"/>
        <v>11931.16</v>
      </c>
    </row>
    <row r="368" spans="1:10">
      <c r="A368" s="3320"/>
      <c r="B368" s="3231"/>
      <c r="C368" s="3268"/>
      <c r="D368" s="3110" t="s">
        <v>3863</v>
      </c>
      <c r="E368" s="3109">
        <v>21106.185000000001</v>
      </c>
      <c r="F368" s="3109"/>
      <c r="G368" s="3109"/>
      <c r="H368" s="3109"/>
      <c r="I368" s="3245"/>
      <c r="J368" s="3109">
        <f t="shared" si="14"/>
        <v>21106.185000000001</v>
      </c>
    </row>
    <row r="369" spans="1:10">
      <c r="A369" s="3320"/>
      <c r="B369" s="3231"/>
      <c r="C369" s="3269"/>
      <c r="D369" s="3043" t="s">
        <v>3864</v>
      </c>
      <c r="E369" s="3043"/>
      <c r="F369" s="3043"/>
      <c r="G369" s="3043"/>
      <c r="H369" s="3030">
        <v>105</v>
      </c>
      <c r="I369" s="3109"/>
      <c r="J369" s="3109"/>
    </row>
    <row r="370" spans="1:10">
      <c r="A370" s="3320"/>
      <c r="B370" s="3231"/>
      <c r="C370" s="3238" t="s">
        <v>3865</v>
      </c>
      <c r="D370" s="3110" t="s">
        <v>3866</v>
      </c>
      <c r="E370" s="3109"/>
      <c r="F370" s="3109">
        <v>2491.2800000000002</v>
      </c>
      <c r="G370" s="3109"/>
      <c r="H370" s="3109"/>
      <c r="I370" s="3245">
        <v>27536.53</v>
      </c>
      <c r="J370" s="3109">
        <f t="shared" si="14"/>
        <v>2491.2800000000002</v>
      </c>
    </row>
    <row r="371" spans="1:10">
      <c r="A371" s="3320"/>
      <c r="B371" s="3231"/>
      <c r="C371" s="3239"/>
      <c r="D371" s="3110" t="s">
        <v>3867</v>
      </c>
      <c r="E371" s="3109"/>
      <c r="F371" s="3109">
        <v>2248.12</v>
      </c>
      <c r="G371" s="3109"/>
      <c r="H371" s="3109"/>
      <c r="I371" s="3245"/>
      <c r="J371" s="3109">
        <f t="shared" si="14"/>
        <v>2248.12</v>
      </c>
    </row>
    <row r="372" spans="1:10">
      <c r="A372" s="3320"/>
      <c r="B372" s="3231"/>
      <c r="C372" s="3239"/>
      <c r="D372" s="3110" t="s">
        <v>3868</v>
      </c>
      <c r="E372" s="3109"/>
      <c r="F372" s="3109">
        <v>1881.86</v>
      </c>
      <c r="G372" s="3109"/>
      <c r="H372" s="3109"/>
      <c r="I372" s="3245"/>
      <c r="J372" s="3109">
        <f t="shared" si="14"/>
        <v>1881.86</v>
      </c>
    </row>
    <row r="373" spans="1:10">
      <c r="A373" s="3320"/>
      <c r="B373" s="3231"/>
      <c r="C373" s="3239"/>
      <c r="D373" s="3110" t="s">
        <v>3869</v>
      </c>
      <c r="E373" s="3109"/>
      <c r="F373" s="3109">
        <v>2491.2800000000002</v>
      </c>
      <c r="G373" s="3109"/>
      <c r="H373" s="3109"/>
      <c r="I373" s="3245"/>
      <c r="J373" s="3109">
        <f t="shared" si="14"/>
        <v>2491.2800000000002</v>
      </c>
    </row>
    <row r="374" spans="1:10">
      <c r="A374" s="3320"/>
      <c r="B374" s="3231"/>
      <c r="C374" s="3239"/>
      <c r="D374" s="3110" t="s">
        <v>3870</v>
      </c>
      <c r="E374" s="3109"/>
      <c r="F374" s="3109">
        <v>1874.82</v>
      </c>
      <c r="G374" s="3109"/>
      <c r="H374" s="3109"/>
      <c r="I374" s="3245"/>
      <c r="J374" s="3109">
        <f t="shared" si="14"/>
        <v>1874.82</v>
      </c>
    </row>
    <row r="375" spans="1:10">
      <c r="A375" s="3320"/>
      <c r="B375" s="3231"/>
      <c r="C375" s="3239"/>
      <c r="D375" s="3110" t="s">
        <v>3871</v>
      </c>
      <c r="E375" s="3109"/>
      <c r="F375" s="3109">
        <v>1747.26</v>
      </c>
      <c r="G375" s="3109"/>
      <c r="H375" s="3109"/>
      <c r="I375" s="3245"/>
      <c r="J375" s="3109">
        <f t="shared" si="14"/>
        <v>1747.26</v>
      </c>
    </row>
    <row r="376" spans="1:10">
      <c r="A376" s="3320"/>
      <c r="B376" s="3231"/>
      <c r="C376" s="3239"/>
      <c r="D376" s="3110" t="s">
        <v>3872</v>
      </c>
      <c r="E376" s="3109"/>
      <c r="F376" s="3109">
        <v>1747.26</v>
      </c>
      <c r="G376" s="3109"/>
      <c r="H376" s="3109"/>
      <c r="I376" s="3245"/>
      <c r="J376" s="3109">
        <f t="shared" si="14"/>
        <v>1747.26</v>
      </c>
    </row>
    <row r="377" spans="1:10">
      <c r="A377" s="3320"/>
      <c r="B377" s="3231"/>
      <c r="C377" s="3239"/>
      <c r="D377" s="3110" t="s">
        <v>3873</v>
      </c>
      <c r="E377" s="3109"/>
      <c r="F377" s="3109">
        <v>2984.64</v>
      </c>
      <c r="G377" s="3109"/>
      <c r="H377" s="3109"/>
      <c r="I377" s="3245"/>
      <c r="J377" s="3109">
        <f t="shared" si="14"/>
        <v>2984.64</v>
      </c>
    </row>
    <row r="378" spans="1:10">
      <c r="A378" s="3320"/>
      <c r="B378" s="3231"/>
      <c r="C378" s="3239"/>
      <c r="D378" s="3110" t="s">
        <v>3874</v>
      </c>
      <c r="E378" s="3109"/>
      <c r="F378" s="3109">
        <v>1751.24</v>
      </c>
      <c r="G378" s="3109"/>
      <c r="H378" s="3109"/>
      <c r="I378" s="3245"/>
      <c r="J378" s="3109">
        <f t="shared" si="14"/>
        <v>1751.24</v>
      </c>
    </row>
    <row r="379" spans="1:10">
      <c r="A379" s="3320"/>
      <c r="B379" s="3231"/>
      <c r="C379" s="3239"/>
      <c r="D379" s="3110" t="s">
        <v>3875</v>
      </c>
      <c r="E379" s="3109"/>
      <c r="F379" s="3109">
        <v>1747.26</v>
      </c>
      <c r="G379" s="3109"/>
      <c r="H379" s="3109"/>
      <c r="I379" s="3245"/>
      <c r="J379" s="3109">
        <f t="shared" si="14"/>
        <v>1747.26</v>
      </c>
    </row>
    <row r="380" spans="1:10">
      <c r="A380" s="3320"/>
      <c r="B380" s="3231"/>
      <c r="C380" s="3239"/>
      <c r="D380" s="3110" t="s">
        <v>3876</v>
      </c>
      <c r="E380" s="3109"/>
      <c r="F380" s="3109">
        <v>2368.1799999999998</v>
      </c>
      <c r="G380" s="3109"/>
      <c r="H380" s="3109"/>
      <c r="I380" s="3245"/>
      <c r="J380" s="3109">
        <f t="shared" si="14"/>
        <v>2368.1799999999998</v>
      </c>
    </row>
    <row r="381" spans="1:10">
      <c r="A381" s="3320"/>
      <c r="B381" s="3231"/>
      <c r="C381" s="3239"/>
      <c r="D381" s="3110" t="s">
        <v>3877</v>
      </c>
      <c r="E381" s="3109"/>
      <c r="F381" s="3109">
        <v>1747.26</v>
      </c>
      <c r="G381" s="3109"/>
      <c r="H381" s="3109"/>
      <c r="I381" s="3245"/>
      <c r="J381" s="3109">
        <f t="shared" si="14"/>
        <v>1747.26</v>
      </c>
    </row>
    <row r="382" spans="1:10">
      <c r="A382" s="3320"/>
      <c r="B382" s="3231"/>
      <c r="C382" s="3240"/>
      <c r="D382" s="3110" t="s">
        <v>3878</v>
      </c>
      <c r="E382" s="3109"/>
      <c r="F382" s="3109">
        <v>1747.26</v>
      </c>
      <c r="G382" s="3109"/>
      <c r="H382" s="3109"/>
      <c r="I382" s="3245"/>
      <c r="J382" s="3109">
        <f t="shared" si="14"/>
        <v>1747.26</v>
      </c>
    </row>
    <row r="383" spans="1:10">
      <c r="A383" s="3320"/>
      <c r="B383" s="3231"/>
      <c r="C383" s="3231" t="s">
        <v>40</v>
      </c>
      <c r="D383" s="3231"/>
      <c r="E383" s="3106">
        <f>SUM(E361:E382)</f>
        <v>96348.654999999999</v>
      </c>
      <c r="F383" s="3106">
        <f>SUM(F361:F382)</f>
        <v>26827.719999999998</v>
      </c>
      <c r="G383" s="3106">
        <f>SUM(G361:G382)</f>
        <v>1657.6</v>
      </c>
      <c r="H383" s="3106">
        <f>SUM(H361:H382)</f>
        <v>1766.61</v>
      </c>
      <c r="I383" s="3228">
        <f>SUM(I361:I382)</f>
        <v>54294.229999999996</v>
      </c>
      <c r="J383" s="3228">
        <f>E385+I383</f>
        <v>180894.815</v>
      </c>
    </row>
    <row r="384" spans="1:10">
      <c r="A384" s="3320"/>
      <c r="B384" s="3231"/>
      <c r="C384" s="3231"/>
      <c r="D384" s="3231"/>
      <c r="E384" s="3231">
        <f>SUM(E383:G383)</f>
        <v>124833.97500000001</v>
      </c>
      <c r="F384" s="3231"/>
      <c r="G384" s="3231"/>
      <c r="H384" s="3106">
        <f>H383</f>
        <v>1766.61</v>
      </c>
      <c r="I384" s="3229"/>
      <c r="J384" s="3229"/>
    </row>
    <row r="385" spans="1:10">
      <c r="A385" s="3320"/>
      <c r="B385" s="3231"/>
      <c r="C385" s="3231"/>
      <c r="D385" s="3231"/>
      <c r="E385" s="3231">
        <f>SUM(E384:H384)</f>
        <v>126600.58500000001</v>
      </c>
      <c r="F385" s="3231"/>
      <c r="G385" s="3231"/>
      <c r="H385" s="3231"/>
      <c r="I385" s="3230"/>
      <c r="J385" s="3230"/>
    </row>
    <row r="386" spans="1:10">
      <c r="A386" s="3320"/>
      <c r="B386" s="3245" t="s">
        <v>3529</v>
      </c>
      <c r="C386" s="3245"/>
      <c r="D386" s="3245"/>
      <c r="E386" s="3016" t="s">
        <v>3530</v>
      </c>
      <c r="F386" s="3016" t="s">
        <v>3625</v>
      </c>
      <c r="G386" s="3016" t="s">
        <v>3532</v>
      </c>
      <c r="H386" s="3016" t="s">
        <v>3533</v>
      </c>
      <c r="I386" s="3016" t="s">
        <v>3534</v>
      </c>
      <c r="J386" s="3016" t="s">
        <v>37</v>
      </c>
    </row>
    <row r="387" spans="1:10">
      <c r="A387" s="3320"/>
      <c r="B387" s="3307" t="s">
        <v>3879</v>
      </c>
      <c r="C387" s="3238" t="s">
        <v>3855</v>
      </c>
      <c r="D387" s="3029" t="s">
        <v>3880</v>
      </c>
      <c r="E387" s="3029">
        <v>11027.57</v>
      </c>
      <c r="F387" s="3029"/>
      <c r="G387" s="3030">
        <f>1688.97-H387</f>
        <v>1456.78</v>
      </c>
      <c r="H387" s="3030">
        <f>126.02+106.17</f>
        <v>232.19</v>
      </c>
      <c r="I387" s="3270">
        <v>4977.79</v>
      </c>
      <c r="J387" s="3016">
        <f>SUM(E387:I387)</f>
        <v>17694.330000000002</v>
      </c>
    </row>
    <row r="388" spans="1:10">
      <c r="A388" s="3320"/>
      <c r="B388" s="3267"/>
      <c r="C388" s="3269"/>
      <c r="D388" s="3029" t="s">
        <v>3881</v>
      </c>
      <c r="E388" s="3029">
        <v>11027.57</v>
      </c>
      <c r="F388" s="3029"/>
      <c r="G388" s="3030">
        <f>637.6-H388</f>
        <v>425.76</v>
      </c>
      <c r="H388" s="3030">
        <f>105.67+106.17</f>
        <v>211.84</v>
      </c>
      <c r="I388" s="3240"/>
      <c r="J388" s="3016">
        <f t="shared" ref="J388:J409" si="15">SUM(E388:I388)</f>
        <v>11665.17</v>
      </c>
    </row>
    <row r="389" spans="1:10">
      <c r="A389" s="3320"/>
      <c r="B389" s="3267"/>
      <c r="C389" s="3238" t="s">
        <v>3882</v>
      </c>
      <c r="D389" s="3015" t="s">
        <v>3883</v>
      </c>
      <c r="E389" s="3016"/>
      <c r="F389" s="3016">
        <v>766.52</v>
      </c>
      <c r="G389" s="3016"/>
      <c r="H389" s="3016"/>
      <c r="I389" s="3270">
        <v>37572.53</v>
      </c>
      <c r="J389" s="3016">
        <f t="shared" si="15"/>
        <v>38339.049999999996</v>
      </c>
    </row>
    <row r="390" spans="1:10">
      <c r="A390" s="3320"/>
      <c r="B390" s="3267"/>
      <c r="C390" s="3239"/>
      <c r="D390" s="3015" t="s">
        <v>3884</v>
      </c>
      <c r="E390" s="3016"/>
      <c r="F390" s="3016">
        <v>2248.12</v>
      </c>
      <c r="G390" s="3016"/>
      <c r="H390" s="3016"/>
      <c r="I390" s="3239"/>
      <c r="J390" s="3016">
        <f t="shared" si="15"/>
        <v>2248.12</v>
      </c>
    </row>
    <row r="391" spans="1:10">
      <c r="A391" s="3320"/>
      <c r="B391" s="3267"/>
      <c r="C391" s="3239"/>
      <c r="D391" s="3015" t="s">
        <v>3885</v>
      </c>
      <c r="E391" s="3016"/>
      <c r="F391" s="3016">
        <v>2491.2800000000002</v>
      </c>
      <c r="G391" s="3016"/>
      <c r="H391" s="3016"/>
      <c r="I391" s="3239"/>
      <c r="J391" s="3016">
        <f t="shared" si="15"/>
        <v>2491.2800000000002</v>
      </c>
    </row>
    <row r="392" spans="1:10">
      <c r="A392" s="3320"/>
      <c r="B392" s="3267"/>
      <c r="C392" s="3239"/>
      <c r="D392" s="3015" t="s">
        <v>3886</v>
      </c>
      <c r="E392" s="3016"/>
      <c r="F392" s="3016">
        <v>1164.7</v>
      </c>
      <c r="G392" s="3016"/>
      <c r="H392" s="3016"/>
      <c r="I392" s="3239"/>
      <c r="J392" s="3016">
        <f t="shared" si="15"/>
        <v>1164.7</v>
      </c>
    </row>
    <row r="393" spans="1:10">
      <c r="A393" s="3320"/>
      <c r="B393" s="3267"/>
      <c r="C393" s="3239"/>
      <c r="D393" s="3015" t="s">
        <v>3887</v>
      </c>
      <c r="E393" s="3016"/>
      <c r="F393" s="3016">
        <v>1455.98</v>
      </c>
      <c r="G393" s="3016"/>
      <c r="H393" s="3016"/>
      <c r="I393" s="3239"/>
      <c r="J393" s="3016">
        <f t="shared" si="15"/>
        <v>1455.98</v>
      </c>
    </row>
    <row r="394" spans="1:10">
      <c r="A394" s="3320"/>
      <c r="B394" s="3267"/>
      <c r="C394" s="3239"/>
      <c r="D394" s="3015" t="s">
        <v>3888</v>
      </c>
      <c r="E394" s="3016"/>
      <c r="F394" s="3016">
        <v>1164.7</v>
      </c>
      <c r="G394" s="3016"/>
      <c r="H394" s="3016"/>
      <c r="I394" s="3239"/>
      <c r="J394" s="3016">
        <f t="shared" si="15"/>
        <v>1164.7</v>
      </c>
    </row>
    <row r="395" spans="1:10">
      <c r="A395" s="3320"/>
      <c r="B395" s="3267"/>
      <c r="C395" s="3239"/>
      <c r="D395" s="3015" t="s">
        <v>3889</v>
      </c>
      <c r="E395" s="3016"/>
      <c r="F395" s="3016">
        <v>1747.26</v>
      </c>
      <c r="G395" s="3016"/>
      <c r="H395" s="3016"/>
      <c r="I395" s="3239"/>
      <c r="J395" s="3016">
        <f t="shared" si="15"/>
        <v>1747.26</v>
      </c>
    </row>
    <row r="396" spans="1:10">
      <c r="A396" s="3320"/>
      <c r="B396" s="3267"/>
      <c r="C396" s="3239"/>
      <c r="D396" s="3015" t="s">
        <v>3890</v>
      </c>
      <c r="E396" s="3016"/>
      <c r="F396" s="3016">
        <v>1455.98</v>
      </c>
      <c r="G396" s="3016"/>
      <c r="H396" s="3016"/>
      <c r="I396" s="3239"/>
      <c r="J396" s="3016">
        <f t="shared" si="15"/>
        <v>1455.98</v>
      </c>
    </row>
    <row r="397" spans="1:10">
      <c r="A397" s="3320"/>
      <c r="B397" s="3267"/>
      <c r="C397" s="3239"/>
      <c r="D397" s="3015" t="s">
        <v>3891</v>
      </c>
      <c r="E397" s="3016"/>
      <c r="F397" s="3016">
        <v>1164.7</v>
      </c>
      <c r="G397" s="3016"/>
      <c r="H397" s="3016"/>
      <c r="I397" s="3239"/>
      <c r="J397" s="3016">
        <f t="shared" si="15"/>
        <v>1164.7</v>
      </c>
    </row>
    <row r="398" spans="1:10">
      <c r="A398" s="3320"/>
      <c r="B398" s="3267"/>
      <c r="C398" s="3239"/>
      <c r="D398" s="3015" t="s">
        <v>3892</v>
      </c>
      <c r="E398" s="3016"/>
      <c r="F398" s="3016">
        <v>1747.26</v>
      </c>
      <c r="G398" s="3016"/>
      <c r="H398" s="3016"/>
      <c r="I398" s="3239"/>
      <c r="J398" s="3016">
        <f t="shared" si="15"/>
        <v>1747.26</v>
      </c>
    </row>
    <row r="399" spans="1:10">
      <c r="A399" s="3320"/>
      <c r="B399" s="3267"/>
      <c r="C399" s="3239"/>
      <c r="D399" s="3015" t="s">
        <v>3893</v>
      </c>
      <c r="E399" s="3016"/>
      <c r="F399" s="3016">
        <v>1455.98</v>
      </c>
      <c r="G399" s="3016"/>
      <c r="H399" s="3016"/>
      <c r="I399" s="3239"/>
      <c r="J399" s="3016">
        <f t="shared" si="15"/>
        <v>1455.98</v>
      </c>
    </row>
    <row r="400" spans="1:10">
      <c r="A400" s="3320"/>
      <c r="B400" s="3267"/>
      <c r="C400" s="3239"/>
      <c r="D400" s="3015" t="s">
        <v>3894</v>
      </c>
      <c r="E400" s="3016"/>
      <c r="F400" s="3016">
        <v>1455.98</v>
      </c>
      <c r="G400" s="3016"/>
      <c r="H400" s="3016"/>
      <c r="I400" s="3239"/>
      <c r="J400" s="3016">
        <f t="shared" si="15"/>
        <v>1455.98</v>
      </c>
    </row>
    <row r="401" spans="1:10">
      <c r="A401" s="3320"/>
      <c r="B401" s="3267"/>
      <c r="C401" s="3239"/>
      <c r="D401" s="3015" t="s">
        <v>3895</v>
      </c>
      <c r="E401" s="3016"/>
      <c r="F401" s="3016">
        <v>1747.26</v>
      </c>
      <c r="G401" s="3016"/>
      <c r="H401" s="3016"/>
      <c r="I401" s="3239"/>
      <c r="J401" s="3016">
        <f t="shared" si="15"/>
        <v>1747.26</v>
      </c>
    </row>
    <row r="402" spans="1:10">
      <c r="A402" s="3320"/>
      <c r="B402" s="3267"/>
      <c r="C402" s="3239"/>
      <c r="D402" s="3015" t="s">
        <v>3896</v>
      </c>
      <c r="E402" s="3016"/>
      <c r="F402" s="3016">
        <v>1455.98</v>
      </c>
      <c r="G402" s="3016"/>
      <c r="H402" s="3016"/>
      <c r="I402" s="3239"/>
      <c r="J402" s="3016">
        <f t="shared" si="15"/>
        <v>1455.98</v>
      </c>
    </row>
    <row r="403" spans="1:10">
      <c r="A403" s="3320"/>
      <c r="B403" s="3267"/>
      <c r="C403" s="3239"/>
      <c r="D403" s="3015" t="s">
        <v>3897</v>
      </c>
      <c r="E403" s="3016"/>
      <c r="F403" s="3016">
        <v>1455.98</v>
      </c>
      <c r="G403" s="3016"/>
      <c r="H403" s="3016"/>
      <c r="I403" s="3239"/>
      <c r="J403" s="3016">
        <f t="shared" si="15"/>
        <v>1455.98</v>
      </c>
    </row>
    <row r="404" spans="1:10">
      <c r="A404" s="3320"/>
      <c r="B404" s="3267"/>
      <c r="C404" s="3239"/>
      <c r="D404" s="3015" t="s">
        <v>3898</v>
      </c>
      <c r="E404" s="3016"/>
      <c r="F404" s="3016">
        <v>1747.26</v>
      </c>
      <c r="G404" s="3016"/>
      <c r="H404" s="3016"/>
      <c r="I404" s="3239"/>
      <c r="J404" s="3016">
        <f t="shared" si="15"/>
        <v>1747.26</v>
      </c>
    </row>
    <row r="405" spans="1:10">
      <c r="A405" s="3320"/>
      <c r="B405" s="3267"/>
      <c r="C405" s="3239"/>
      <c r="D405" s="3015" t="s">
        <v>3899</v>
      </c>
      <c r="E405" s="3016"/>
      <c r="F405" s="3016">
        <v>1455.98</v>
      </c>
      <c r="G405" s="3016"/>
      <c r="H405" s="3016"/>
      <c r="I405" s="3239"/>
      <c r="J405" s="3016">
        <f t="shared" si="15"/>
        <v>1455.98</v>
      </c>
    </row>
    <row r="406" spans="1:10">
      <c r="A406" s="3320"/>
      <c r="B406" s="3267"/>
      <c r="C406" s="3239"/>
      <c r="D406" s="3015" t="s">
        <v>3900</v>
      </c>
      <c r="E406" s="3016"/>
      <c r="F406" s="3016">
        <v>1455.98</v>
      </c>
      <c r="G406" s="3016"/>
      <c r="H406" s="3016"/>
      <c r="I406" s="3239"/>
      <c r="J406" s="3016">
        <f t="shared" si="15"/>
        <v>1455.98</v>
      </c>
    </row>
    <row r="407" spans="1:10">
      <c r="A407" s="3320"/>
      <c r="B407" s="3267"/>
      <c r="C407" s="3239"/>
      <c r="D407" s="3044" t="s">
        <v>3901</v>
      </c>
      <c r="E407" s="3044"/>
      <c r="F407" s="3044">
        <v>1708.64</v>
      </c>
      <c r="G407" s="3044"/>
      <c r="H407" s="3044"/>
      <c r="I407" s="3239"/>
      <c r="J407" s="3016">
        <f t="shared" si="15"/>
        <v>1708.64</v>
      </c>
    </row>
    <row r="408" spans="1:10">
      <c r="A408" s="3320"/>
      <c r="B408" s="3267"/>
      <c r="C408" s="3239"/>
      <c r="D408" s="3015" t="s">
        <v>3902</v>
      </c>
      <c r="E408" s="3016"/>
      <c r="F408" s="3016">
        <v>1708.64</v>
      </c>
      <c r="G408" s="3016"/>
      <c r="H408" s="3016"/>
      <c r="I408" s="3239"/>
      <c r="J408" s="3016">
        <f t="shared" si="15"/>
        <v>1708.64</v>
      </c>
    </row>
    <row r="409" spans="1:10">
      <c r="A409" s="3320"/>
      <c r="B409" s="3267"/>
      <c r="C409" s="3240"/>
      <c r="D409" s="3015" t="s">
        <v>3903</v>
      </c>
      <c r="E409" s="3016"/>
      <c r="F409" s="3016">
        <v>1708.64</v>
      </c>
      <c r="G409" s="3016"/>
      <c r="H409" s="3016"/>
      <c r="I409" s="3240"/>
      <c r="J409" s="3016">
        <f t="shared" si="15"/>
        <v>1708.64</v>
      </c>
    </row>
    <row r="410" spans="1:10">
      <c r="A410" s="3320"/>
      <c r="B410" s="3267"/>
      <c r="C410" s="3267" t="s">
        <v>40</v>
      </c>
      <c r="D410" s="3267"/>
      <c r="E410" s="3031">
        <f>SUM(E387:E409)</f>
        <v>22055.14</v>
      </c>
      <c r="F410" s="3031">
        <f>SUM(F387:F409)</f>
        <v>32762.819999999996</v>
      </c>
      <c r="G410" s="3031">
        <f>SUM(G387:G409)</f>
        <v>1882.54</v>
      </c>
      <c r="H410" s="3031">
        <f>SUM(H387:H409)</f>
        <v>444.03</v>
      </c>
      <c r="I410" s="3271">
        <f>SUM(I387:I409)</f>
        <v>42550.32</v>
      </c>
      <c r="J410" s="3271">
        <f>E412+I410</f>
        <v>99694.849999999991</v>
      </c>
    </row>
    <row r="411" spans="1:10">
      <c r="A411" s="3320"/>
      <c r="B411" s="3267"/>
      <c r="C411" s="3267"/>
      <c r="D411" s="3267"/>
      <c r="E411" s="3267">
        <f>SUM(E410:G410)</f>
        <v>56700.499999999993</v>
      </c>
      <c r="F411" s="3267"/>
      <c r="G411" s="3267"/>
      <c r="H411" s="3031">
        <f>H410</f>
        <v>444.03</v>
      </c>
      <c r="I411" s="3272"/>
      <c r="J411" s="3272"/>
    </row>
    <row r="412" spans="1:10">
      <c r="A412" s="3320"/>
      <c r="B412" s="3267"/>
      <c r="C412" s="3267"/>
      <c r="D412" s="3267"/>
      <c r="E412" s="3267">
        <f>SUM(E411:H411)</f>
        <v>57144.529999999992</v>
      </c>
      <c r="F412" s="3267"/>
      <c r="G412" s="3267"/>
      <c r="H412" s="3267"/>
      <c r="I412" s="3273"/>
      <c r="J412" s="3273"/>
    </row>
    <row r="413" spans="1:10">
      <c r="A413" s="3320"/>
      <c r="B413" s="3245" t="s">
        <v>3529</v>
      </c>
      <c r="C413" s="3245"/>
      <c r="D413" s="3245"/>
      <c r="E413" s="3016" t="s">
        <v>3530</v>
      </c>
      <c r="F413" s="3016" t="s">
        <v>3625</v>
      </c>
      <c r="G413" s="3016" t="s">
        <v>3532</v>
      </c>
      <c r="H413" s="3016" t="s">
        <v>3533</v>
      </c>
      <c r="I413" s="3016" t="s">
        <v>3534</v>
      </c>
      <c r="J413" s="3016" t="s">
        <v>37</v>
      </c>
    </row>
    <row r="414" spans="1:10">
      <c r="A414" s="3320"/>
      <c r="B414" s="3308" t="s">
        <v>3904</v>
      </c>
      <c r="C414" s="3238" t="s">
        <v>3727</v>
      </c>
      <c r="D414" s="3015" t="s">
        <v>3905</v>
      </c>
      <c r="E414" s="3016"/>
      <c r="F414" s="3016">
        <v>4117.4399999999996</v>
      </c>
      <c r="G414" s="3016"/>
      <c r="H414" s="3016"/>
      <c r="I414" s="3270">
        <v>6832.44</v>
      </c>
      <c r="J414" s="3016">
        <f t="shared" ref="J414:J437" si="16">SUM(E414:H414)</f>
        <v>4117.4399999999996</v>
      </c>
    </row>
    <row r="415" spans="1:10">
      <c r="A415" s="3320"/>
      <c r="B415" s="3309"/>
      <c r="C415" s="3239"/>
      <c r="D415" s="3015" t="s">
        <v>3906</v>
      </c>
      <c r="E415" s="3016"/>
      <c r="F415" s="3016">
        <v>3478</v>
      </c>
      <c r="G415" s="3016"/>
      <c r="H415" s="3016"/>
      <c r="I415" s="3239"/>
      <c r="J415" s="3016">
        <f t="shared" si="16"/>
        <v>3478</v>
      </c>
    </row>
    <row r="416" spans="1:10">
      <c r="A416" s="3320"/>
      <c r="B416" s="3309"/>
      <c r="C416" s="3240"/>
      <c r="D416" s="3029" t="s">
        <v>3907</v>
      </c>
      <c r="E416" s="3029"/>
      <c r="F416" s="3029"/>
      <c r="G416" s="3035">
        <f>1506-H416</f>
        <v>218.47000000000003</v>
      </c>
      <c r="H416" s="3030">
        <f>1199.03+88.5</f>
        <v>1287.53</v>
      </c>
      <c r="I416" s="3240"/>
      <c r="J416" s="3016">
        <f t="shared" si="16"/>
        <v>1506</v>
      </c>
    </row>
    <row r="417" spans="1:10">
      <c r="A417" s="3320"/>
      <c r="B417" s="3309"/>
      <c r="C417" s="3238" t="s">
        <v>3908</v>
      </c>
      <c r="D417" s="3015" t="s">
        <v>3909</v>
      </c>
      <c r="E417" s="3016"/>
      <c r="F417" s="3016">
        <v>2033.38</v>
      </c>
      <c r="G417" s="3016"/>
      <c r="H417" s="3016"/>
      <c r="I417" s="3270">
        <v>20219.11</v>
      </c>
      <c r="J417" s="3016">
        <f t="shared" si="16"/>
        <v>2033.38</v>
      </c>
    </row>
    <row r="418" spans="1:10">
      <c r="A418" s="3320"/>
      <c r="B418" s="3309"/>
      <c r="C418" s="3239"/>
      <c r="D418" s="3015" t="s">
        <v>3910</v>
      </c>
      <c r="E418" s="3016"/>
      <c r="F418" s="3016">
        <v>2033.38</v>
      </c>
      <c r="G418" s="3016"/>
      <c r="H418" s="3016"/>
      <c r="I418" s="3239"/>
      <c r="J418" s="3016">
        <f t="shared" si="16"/>
        <v>2033.38</v>
      </c>
    </row>
    <row r="419" spans="1:10">
      <c r="A419" s="3320"/>
      <c r="B419" s="3309"/>
      <c r="C419" s="3239"/>
      <c r="D419" s="3015" t="s">
        <v>3911</v>
      </c>
      <c r="E419" s="3016"/>
      <c r="F419" s="3016">
        <v>2033.38</v>
      </c>
      <c r="G419" s="3016"/>
      <c r="H419" s="3016"/>
      <c r="I419" s="3239"/>
      <c r="J419" s="3016">
        <f t="shared" si="16"/>
        <v>2033.38</v>
      </c>
    </row>
    <row r="420" spans="1:10">
      <c r="A420" s="3320"/>
      <c r="B420" s="3309"/>
      <c r="C420" s="3239"/>
      <c r="D420" s="3015" t="s">
        <v>3912</v>
      </c>
      <c r="E420" s="3016"/>
      <c r="F420" s="3016">
        <v>2033.38</v>
      </c>
      <c r="G420" s="3016"/>
      <c r="H420" s="3016"/>
      <c r="I420" s="3239"/>
      <c r="J420" s="3016">
        <f t="shared" si="16"/>
        <v>2033.38</v>
      </c>
    </row>
    <row r="421" spans="1:10">
      <c r="A421" s="3320"/>
      <c r="B421" s="3309"/>
      <c r="C421" s="3239"/>
      <c r="D421" s="3015" t="s">
        <v>3913</v>
      </c>
      <c r="E421" s="3016"/>
      <c r="F421" s="3016">
        <v>2984.64</v>
      </c>
      <c r="G421" s="3016"/>
      <c r="H421" s="3016"/>
      <c r="I421" s="3239"/>
      <c r="J421" s="3016">
        <f t="shared" si="16"/>
        <v>2984.64</v>
      </c>
    </row>
    <row r="422" spans="1:10">
      <c r="A422" s="3320"/>
      <c r="B422" s="3309"/>
      <c r="C422" s="3239"/>
      <c r="D422" s="3015" t="s">
        <v>3914</v>
      </c>
      <c r="E422" s="3016"/>
      <c r="F422" s="3016">
        <v>2984.64</v>
      </c>
      <c r="G422" s="3016"/>
      <c r="H422" s="3016"/>
      <c r="I422" s="3239"/>
      <c r="J422" s="3016">
        <f t="shared" si="16"/>
        <v>2984.64</v>
      </c>
    </row>
    <row r="423" spans="1:10">
      <c r="A423" s="3320"/>
      <c r="B423" s="3309"/>
      <c r="C423" s="3239"/>
      <c r="D423" s="3015" t="s">
        <v>3915</v>
      </c>
      <c r="E423" s="3016"/>
      <c r="F423" s="3016">
        <v>2984.64</v>
      </c>
      <c r="G423" s="3016"/>
      <c r="H423" s="3016"/>
      <c r="I423" s="3239"/>
      <c r="J423" s="3016">
        <f t="shared" si="16"/>
        <v>2984.64</v>
      </c>
    </row>
    <row r="424" spans="1:10">
      <c r="A424" s="3320"/>
      <c r="B424" s="3309"/>
      <c r="C424" s="3240"/>
      <c r="D424" s="3029" t="s">
        <v>3916</v>
      </c>
      <c r="E424" s="3029"/>
      <c r="F424" s="3029"/>
      <c r="G424" s="3035">
        <f>1275.54-H424</f>
        <v>1147.21</v>
      </c>
      <c r="H424" s="3030">
        <v>128.33000000000001</v>
      </c>
      <c r="I424" s="3240"/>
      <c r="J424" s="3016">
        <f t="shared" si="16"/>
        <v>1275.54</v>
      </c>
    </row>
    <row r="425" spans="1:10">
      <c r="A425" s="3320"/>
      <c r="B425" s="3309"/>
      <c r="C425" s="3311" t="s">
        <v>3917</v>
      </c>
      <c r="D425" s="3015" t="s">
        <v>3918</v>
      </c>
      <c r="E425" s="3016"/>
      <c r="F425" s="3016">
        <v>2333.8200000000002</v>
      </c>
      <c r="G425" s="3016"/>
      <c r="H425" s="3016"/>
      <c r="I425" s="3270">
        <v>32200.99</v>
      </c>
      <c r="J425" s="3016">
        <f t="shared" si="16"/>
        <v>2333.8200000000002</v>
      </c>
    </row>
    <row r="426" spans="1:10">
      <c r="A426" s="3320"/>
      <c r="B426" s="3309"/>
      <c r="C426" s="3245"/>
      <c r="D426" s="3015" t="s">
        <v>3919</v>
      </c>
      <c r="E426" s="3016"/>
      <c r="F426" s="3016">
        <v>3478</v>
      </c>
      <c r="G426" s="3016"/>
      <c r="H426" s="3016"/>
      <c r="I426" s="3239"/>
      <c r="J426" s="3016">
        <f t="shared" si="16"/>
        <v>3478</v>
      </c>
    </row>
    <row r="427" spans="1:10">
      <c r="A427" s="3320"/>
      <c r="B427" s="3309"/>
      <c r="C427" s="3245"/>
      <c r="D427" s="3015" t="s">
        <v>3920</v>
      </c>
      <c r="E427" s="3016"/>
      <c r="F427" s="3016">
        <v>3478</v>
      </c>
      <c r="G427" s="3016"/>
      <c r="H427" s="3016"/>
      <c r="I427" s="3239"/>
      <c r="J427" s="3016">
        <f t="shared" si="16"/>
        <v>3478</v>
      </c>
    </row>
    <row r="428" spans="1:10">
      <c r="A428" s="3320"/>
      <c r="B428" s="3309"/>
      <c r="C428" s="3245"/>
      <c r="D428" s="3015" t="s">
        <v>3921</v>
      </c>
      <c r="E428" s="3016"/>
      <c r="F428" s="3016">
        <v>2756.36</v>
      </c>
      <c r="G428" s="3016"/>
      <c r="H428" s="3016"/>
      <c r="I428" s="3239"/>
      <c r="J428" s="3016">
        <f t="shared" si="16"/>
        <v>2756.36</v>
      </c>
    </row>
    <row r="429" spans="1:10">
      <c r="A429" s="3320"/>
      <c r="B429" s="3309"/>
      <c r="C429" s="3245"/>
      <c r="D429" s="3015" t="s">
        <v>3922</v>
      </c>
      <c r="E429" s="3016"/>
      <c r="F429" s="3016">
        <v>2333.8200000000002</v>
      </c>
      <c r="G429" s="3016"/>
      <c r="H429" s="3016"/>
      <c r="I429" s="3239"/>
      <c r="J429" s="3016">
        <f t="shared" si="16"/>
        <v>2333.8200000000002</v>
      </c>
    </row>
    <row r="430" spans="1:10">
      <c r="A430" s="3320"/>
      <c r="B430" s="3309"/>
      <c r="C430" s="3245"/>
      <c r="D430" s="3015" t="s">
        <v>3923</v>
      </c>
      <c r="E430" s="3016"/>
      <c r="F430" s="3016">
        <v>2134.8200000000002</v>
      </c>
      <c r="G430" s="3016"/>
      <c r="H430" s="3016"/>
      <c r="I430" s="3239"/>
      <c r="J430" s="3016">
        <f t="shared" si="16"/>
        <v>2134.8200000000002</v>
      </c>
    </row>
    <row r="431" spans="1:10">
      <c r="A431" s="3320"/>
      <c r="B431" s="3309"/>
      <c r="C431" s="3245"/>
      <c r="D431" s="3015" t="s">
        <v>3924</v>
      </c>
      <c r="E431" s="3016"/>
      <c r="F431" s="3016">
        <v>2491.2800000000002</v>
      </c>
      <c r="G431" s="3016"/>
      <c r="H431" s="3016"/>
      <c r="I431" s="3239"/>
      <c r="J431" s="3016">
        <f t="shared" si="16"/>
        <v>2491.2800000000002</v>
      </c>
    </row>
    <row r="432" spans="1:10">
      <c r="A432" s="3320"/>
      <c r="B432" s="3309"/>
      <c r="C432" s="3245"/>
      <c r="D432" s="3015" t="s">
        <v>3925</v>
      </c>
      <c r="E432" s="3016"/>
      <c r="F432" s="3016">
        <v>2491.2800000000002</v>
      </c>
      <c r="G432" s="3016"/>
      <c r="H432" s="3016"/>
      <c r="I432" s="3239"/>
      <c r="J432" s="3016">
        <f t="shared" si="16"/>
        <v>2491.2800000000002</v>
      </c>
    </row>
    <row r="433" spans="1:10">
      <c r="A433" s="3320"/>
      <c r="B433" s="3309"/>
      <c r="C433" s="3245"/>
      <c r="D433" s="3015" t="s">
        <v>3926</v>
      </c>
      <c r="E433" s="3016"/>
      <c r="F433" s="3016">
        <v>1877.49</v>
      </c>
      <c r="G433" s="3016"/>
      <c r="H433" s="3016"/>
      <c r="I433" s="3239"/>
      <c r="J433" s="3016">
        <f t="shared" si="16"/>
        <v>1877.49</v>
      </c>
    </row>
    <row r="434" spans="1:10">
      <c r="A434" s="3320"/>
      <c r="B434" s="3309"/>
      <c r="C434" s="3245"/>
      <c r="D434" s="3015" t="s">
        <v>3927</v>
      </c>
      <c r="E434" s="3016"/>
      <c r="F434" s="3016">
        <v>1298.9000000000001</v>
      </c>
      <c r="G434" s="3016"/>
      <c r="H434" s="3016"/>
      <c r="I434" s="3239"/>
      <c r="J434" s="3016">
        <f t="shared" si="16"/>
        <v>1298.9000000000001</v>
      </c>
    </row>
    <row r="435" spans="1:10">
      <c r="A435" s="3320"/>
      <c r="B435" s="3309"/>
      <c r="C435" s="3245"/>
      <c r="D435" s="3015" t="s">
        <v>3928</v>
      </c>
      <c r="E435" s="3016"/>
      <c r="F435" s="3016">
        <v>2244.6</v>
      </c>
      <c r="G435" s="3016"/>
      <c r="H435" s="3016"/>
      <c r="I435" s="3239"/>
      <c r="J435" s="3016">
        <f t="shared" si="16"/>
        <v>2244.6</v>
      </c>
    </row>
    <row r="436" spans="1:10">
      <c r="A436" s="3320"/>
      <c r="B436" s="3309"/>
      <c r="C436" s="3245"/>
      <c r="D436" s="3015" t="s">
        <v>3929</v>
      </c>
      <c r="E436" s="3016"/>
      <c r="F436" s="3016">
        <v>1997.92</v>
      </c>
      <c r="G436" s="3016"/>
      <c r="H436" s="3016"/>
      <c r="I436" s="3239"/>
      <c r="J436" s="3016">
        <f t="shared" si="16"/>
        <v>1997.92</v>
      </c>
    </row>
    <row r="437" spans="1:10">
      <c r="A437" s="3320"/>
      <c r="B437" s="3309"/>
      <c r="C437" s="3245"/>
      <c r="D437" s="3015" t="s">
        <v>3930</v>
      </c>
      <c r="E437" s="3016"/>
      <c r="F437" s="3016">
        <v>403</v>
      </c>
      <c r="G437" s="3016"/>
      <c r="H437" s="3016"/>
      <c r="I437" s="3240"/>
      <c r="J437" s="3016">
        <f t="shared" si="16"/>
        <v>403</v>
      </c>
    </row>
    <row r="438" spans="1:10">
      <c r="A438" s="3320"/>
      <c r="B438" s="3309"/>
      <c r="C438" s="3284" t="s">
        <v>40</v>
      </c>
      <c r="D438" s="3284"/>
      <c r="E438" s="3036">
        <f>SUM(E414:E437)</f>
        <v>0</v>
      </c>
      <c r="F438" s="3036">
        <f>SUM(F414:F437)</f>
        <v>54002.169999999991</v>
      </c>
      <c r="G438" s="3036">
        <f>SUM(G414:G437)</f>
        <v>1365.68</v>
      </c>
      <c r="H438" s="3036">
        <f>SUM(H414:H437)</f>
        <v>1415.86</v>
      </c>
      <c r="I438" s="3285">
        <f>SUM(I414:I437)</f>
        <v>59252.54</v>
      </c>
      <c r="J438" s="3308">
        <f>E440+I438</f>
        <v>116036.25</v>
      </c>
    </row>
    <row r="439" spans="1:10">
      <c r="A439" s="3320"/>
      <c r="B439" s="3309"/>
      <c r="C439" s="3284"/>
      <c r="D439" s="3284"/>
      <c r="E439" s="3284">
        <f>SUM(E438:G438)</f>
        <v>55367.849999999991</v>
      </c>
      <c r="F439" s="3284"/>
      <c r="G439" s="3284"/>
      <c r="H439" s="3036">
        <f>H438</f>
        <v>1415.86</v>
      </c>
      <c r="I439" s="3286"/>
      <c r="J439" s="3309"/>
    </row>
    <row r="440" spans="1:10">
      <c r="A440" s="3320"/>
      <c r="B440" s="3310"/>
      <c r="C440" s="3284"/>
      <c r="D440" s="3284"/>
      <c r="E440" s="3284">
        <f>SUM(E439:H439)</f>
        <v>56783.709999999992</v>
      </c>
      <c r="F440" s="3284"/>
      <c r="G440" s="3284"/>
      <c r="H440" s="3284"/>
      <c r="I440" s="3287"/>
      <c r="J440" s="3310"/>
    </row>
    <row r="441" spans="1:10">
      <c r="A441" s="3320"/>
      <c r="B441" s="3312" t="s">
        <v>37</v>
      </c>
      <c r="C441" s="3234"/>
      <c r="D441" s="3234"/>
      <c r="E441" s="3012">
        <f>E383+E410+E438</f>
        <v>118403.795</v>
      </c>
      <c r="F441" s="3012">
        <f>F383+F410+F438</f>
        <v>113592.70999999999</v>
      </c>
      <c r="G441" s="3012">
        <f>G383+G410+G438</f>
        <v>4905.82</v>
      </c>
      <c r="H441" s="3012">
        <f>H383+H410+H438</f>
        <v>3626.5</v>
      </c>
      <c r="I441" s="3313">
        <f>I383+I410+I438</f>
        <v>156097.09</v>
      </c>
      <c r="J441" s="3316">
        <f>E443+I441</f>
        <v>396625.91500000004</v>
      </c>
    </row>
    <row r="442" spans="1:10">
      <c r="A442" s="3320"/>
      <c r="B442" s="3234"/>
      <c r="C442" s="3234"/>
      <c r="D442" s="3234"/>
      <c r="E442" s="3234">
        <f>SUM(E441:G441)</f>
        <v>236902.32500000001</v>
      </c>
      <c r="F442" s="3234"/>
      <c r="G442" s="3234"/>
      <c r="H442" s="3012">
        <f>H441</f>
        <v>3626.5</v>
      </c>
      <c r="I442" s="3314"/>
      <c r="J442" s="3317"/>
    </row>
    <row r="443" spans="1:10">
      <c r="A443" s="3320"/>
      <c r="B443" s="3234"/>
      <c r="C443" s="3234"/>
      <c r="D443" s="3234"/>
      <c r="E443" s="3234">
        <f>SUM(E442:H442)</f>
        <v>240528.82500000001</v>
      </c>
      <c r="F443" s="3234"/>
      <c r="G443" s="3234"/>
      <c r="H443" s="3234"/>
      <c r="I443" s="3315"/>
      <c r="J443" s="3318"/>
    </row>
    <row r="444" spans="1:10" ht="14" customHeight="1">
      <c r="A444" s="3264" t="s">
        <v>3931</v>
      </c>
      <c r="B444" s="3234" t="s">
        <v>3523</v>
      </c>
      <c r="C444" s="3234"/>
      <c r="D444" s="3234"/>
      <c r="E444" s="3234" t="s">
        <v>3524</v>
      </c>
      <c r="F444" s="3234"/>
      <c r="G444" s="3234"/>
      <c r="H444" s="3234"/>
      <c r="I444" s="3108" t="s">
        <v>3525</v>
      </c>
      <c r="J444" s="3234" t="s">
        <v>37</v>
      </c>
    </row>
    <row r="445" spans="1:10">
      <c r="A445" s="3265"/>
      <c r="B445" s="3235" t="s">
        <v>3526</v>
      </c>
      <c r="C445" s="3235"/>
      <c r="D445" s="3235"/>
      <c r="E445" s="3235" t="s">
        <v>3527</v>
      </c>
      <c r="F445" s="3235"/>
      <c r="G445" s="3235"/>
      <c r="H445" s="3235" t="s">
        <v>3528</v>
      </c>
      <c r="I445" s="3235"/>
      <c r="J445" s="3234"/>
    </row>
    <row r="446" spans="1:10">
      <c r="A446" s="3265"/>
      <c r="B446" s="3236" t="s">
        <v>3529</v>
      </c>
      <c r="C446" s="3236"/>
      <c r="D446" s="3236"/>
      <c r="E446" s="3107" t="s">
        <v>3530</v>
      </c>
      <c r="F446" s="3107" t="s">
        <v>3625</v>
      </c>
      <c r="G446" s="3107" t="s">
        <v>3532</v>
      </c>
      <c r="H446" s="3107" t="s">
        <v>3533</v>
      </c>
      <c r="I446" s="3107" t="s">
        <v>3534</v>
      </c>
      <c r="J446" s="3234"/>
    </row>
    <row r="447" spans="1:10">
      <c r="A447" s="3265"/>
      <c r="B447" s="3237" t="s">
        <v>3932</v>
      </c>
      <c r="C447" s="3238" t="s">
        <v>3727</v>
      </c>
      <c r="D447" s="3110" t="s">
        <v>3933</v>
      </c>
      <c r="E447" s="3109"/>
      <c r="F447" s="3109">
        <v>631.94000000000005</v>
      </c>
      <c r="G447" s="3109"/>
      <c r="H447" s="3109"/>
      <c r="I447" s="3241">
        <v>38355.919999999998</v>
      </c>
      <c r="J447" s="3109">
        <f>SUM(E447:H447)</f>
        <v>631.94000000000005</v>
      </c>
    </row>
    <row r="448" spans="1:10">
      <c r="A448" s="3265"/>
      <c r="B448" s="3231"/>
      <c r="C448" s="3268"/>
      <c r="D448" s="3110" t="s">
        <v>3934</v>
      </c>
      <c r="E448" s="3109"/>
      <c r="F448" s="3109">
        <v>1164.7</v>
      </c>
      <c r="G448" s="3109"/>
      <c r="H448" s="3109"/>
      <c r="I448" s="3242"/>
      <c r="J448" s="3109">
        <f t="shared" ref="J448:J467" si="17">SUM(E448:H448)</f>
        <v>1164.7</v>
      </c>
    </row>
    <row r="449" spans="1:10">
      <c r="A449" s="3265"/>
      <c r="B449" s="3231"/>
      <c r="C449" s="3268"/>
      <c r="D449" s="3110" t="s">
        <v>3935</v>
      </c>
      <c r="E449" s="3109"/>
      <c r="F449" s="3109">
        <v>1708.64</v>
      </c>
      <c r="G449" s="3109"/>
      <c r="H449" s="3109"/>
      <c r="I449" s="3242"/>
      <c r="J449" s="3109">
        <f t="shared" si="17"/>
        <v>1708.64</v>
      </c>
    </row>
    <row r="450" spans="1:10">
      <c r="A450" s="3265"/>
      <c r="B450" s="3231"/>
      <c r="C450" s="3268"/>
      <c r="D450" s="3110" t="s">
        <v>3936</v>
      </c>
      <c r="E450" s="3109"/>
      <c r="F450" s="3109">
        <v>1708.64</v>
      </c>
      <c r="G450" s="3109"/>
      <c r="H450" s="3109"/>
      <c r="I450" s="3242"/>
      <c r="J450" s="3109">
        <f t="shared" si="17"/>
        <v>1708.64</v>
      </c>
    </row>
    <row r="451" spans="1:10">
      <c r="A451" s="3265"/>
      <c r="B451" s="3231"/>
      <c r="C451" s="3268"/>
      <c r="D451" s="3110" t="s">
        <v>3937</v>
      </c>
      <c r="E451" s="3109"/>
      <c r="F451" s="3109">
        <v>1708.64</v>
      </c>
      <c r="G451" s="3109"/>
      <c r="H451" s="3109"/>
      <c r="I451" s="3242"/>
      <c r="J451" s="3109">
        <f t="shared" si="17"/>
        <v>1708.64</v>
      </c>
    </row>
    <row r="452" spans="1:10">
      <c r="A452" s="3265"/>
      <c r="B452" s="3231"/>
      <c r="C452" s="3268"/>
      <c r="D452" s="3110" t="s">
        <v>3938</v>
      </c>
      <c r="E452" s="3109"/>
      <c r="F452" s="3109">
        <v>1708.64</v>
      </c>
      <c r="G452" s="3109"/>
      <c r="H452" s="3109"/>
      <c r="I452" s="3242"/>
      <c r="J452" s="3109">
        <f t="shared" si="17"/>
        <v>1708.64</v>
      </c>
    </row>
    <row r="453" spans="1:10">
      <c r="A453" s="3265"/>
      <c r="B453" s="3231"/>
      <c r="C453" s="3268"/>
      <c r="D453" s="3110" t="s">
        <v>3939</v>
      </c>
      <c r="E453" s="3109"/>
      <c r="F453" s="3109">
        <v>1708.64</v>
      </c>
      <c r="G453" s="3109"/>
      <c r="H453" s="3109"/>
      <c r="I453" s="3242"/>
      <c r="J453" s="3109">
        <f t="shared" si="17"/>
        <v>1708.64</v>
      </c>
    </row>
    <row r="454" spans="1:10">
      <c r="A454" s="3265"/>
      <c r="B454" s="3231"/>
      <c r="C454" s="3268"/>
      <c r="D454" s="3110" t="s">
        <v>3940</v>
      </c>
      <c r="E454" s="3109"/>
      <c r="F454" s="3109">
        <v>1708.64</v>
      </c>
      <c r="G454" s="3109"/>
      <c r="H454" s="3109"/>
      <c r="I454" s="3242"/>
      <c r="J454" s="3109">
        <f t="shared" si="17"/>
        <v>1708.64</v>
      </c>
    </row>
    <row r="455" spans="1:10">
      <c r="A455" s="3265"/>
      <c r="B455" s="3231"/>
      <c r="C455" s="3268"/>
      <c r="D455" s="3110" t="s">
        <v>3941</v>
      </c>
      <c r="E455" s="3109"/>
      <c r="F455" s="3109">
        <v>1708.64</v>
      </c>
      <c r="G455" s="3109"/>
      <c r="H455" s="3109"/>
      <c r="I455" s="3242"/>
      <c r="J455" s="3109">
        <f t="shared" si="17"/>
        <v>1708.64</v>
      </c>
    </row>
    <row r="456" spans="1:10">
      <c r="A456" s="3265"/>
      <c r="B456" s="3231"/>
      <c r="C456" s="3268"/>
      <c r="D456" s="3110" t="s">
        <v>3942</v>
      </c>
      <c r="E456" s="3109"/>
      <c r="F456" s="3109">
        <v>1708.64</v>
      </c>
      <c r="G456" s="3109"/>
      <c r="H456" s="3109"/>
      <c r="I456" s="3242"/>
      <c r="J456" s="3109">
        <f t="shared" si="17"/>
        <v>1708.64</v>
      </c>
    </row>
    <row r="457" spans="1:10">
      <c r="A457" s="3265"/>
      <c r="B457" s="3231"/>
      <c r="C457" s="3268"/>
      <c r="D457" s="3110" t="s">
        <v>3943</v>
      </c>
      <c r="E457" s="3109"/>
      <c r="F457" s="3109">
        <v>431.32</v>
      </c>
      <c r="G457" s="3109"/>
      <c r="H457" s="3109"/>
      <c r="I457" s="3242"/>
      <c r="J457" s="3109">
        <f t="shared" si="17"/>
        <v>431.32</v>
      </c>
    </row>
    <row r="458" spans="1:10">
      <c r="A458" s="3265"/>
      <c r="B458" s="3231"/>
      <c r="C458" s="3268"/>
      <c r="D458" s="3110" t="s">
        <v>3944</v>
      </c>
      <c r="E458" s="3109"/>
      <c r="F458" s="3109">
        <v>2491.2800000000002</v>
      </c>
      <c r="G458" s="3109"/>
      <c r="H458" s="3109"/>
      <c r="I458" s="3242"/>
      <c r="J458" s="3109">
        <f t="shared" si="17"/>
        <v>2491.2800000000002</v>
      </c>
    </row>
    <row r="459" spans="1:10">
      <c r="A459" s="3265"/>
      <c r="B459" s="3231"/>
      <c r="C459" s="3268"/>
      <c r="D459" s="3110" t="s">
        <v>3945</v>
      </c>
      <c r="E459" s="3109"/>
      <c r="F459" s="3109">
        <v>2491.2800000000002</v>
      </c>
      <c r="G459" s="3109"/>
      <c r="H459" s="3109"/>
      <c r="I459" s="3242"/>
      <c r="J459" s="3109">
        <f t="shared" si="17"/>
        <v>2491.2800000000002</v>
      </c>
    </row>
    <row r="460" spans="1:10">
      <c r="A460" s="3265"/>
      <c r="B460" s="3231"/>
      <c r="C460" s="3268"/>
      <c r="D460" s="3110" t="s">
        <v>3946</v>
      </c>
      <c r="E460" s="3109"/>
      <c r="F460" s="3109">
        <v>2491.2800000000002</v>
      </c>
      <c r="G460" s="3109"/>
      <c r="H460" s="3109"/>
      <c r="I460" s="3242"/>
      <c r="J460" s="3109">
        <f t="shared" si="17"/>
        <v>2491.2800000000002</v>
      </c>
    </row>
    <row r="461" spans="1:10">
      <c r="A461" s="3265"/>
      <c r="B461" s="3231"/>
      <c r="C461" s="3268"/>
      <c r="D461" s="3110" t="s">
        <v>3947</v>
      </c>
      <c r="E461" s="3109"/>
      <c r="F461" s="3109">
        <v>1753.24</v>
      </c>
      <c r="G461" s="3109"/>
      <c r="H461" s="3109"/>
      <c r="I461" s="3242"/>
      <c r="J461" s="3109">
        <f t="shared" si="17"/>
        <v>1753.24</v>
      </c>
    </row>
    <row r="462" spans="1:10">
      <c r="A462" s="3265"/>
      <c r="B462" s="3231"/>
      <c r="C462" s="3268"/>
      <c r="D462" s="3110" t="s">
        <v>3948</v>
      </c>
      <c r="E462" s="3109"/>
      <c r="F462" s="3109">
        <v>1997.92</v>
      </c>
      <c r="G462" s="3109"/>
      <c r="H462" s="3109"/>
      <c r="I462" s="3242"/>
      <c r="J462" s="3109">
        <f t="shared" si="17"/>
        <v>1997.92</v>
      </c>
    </row>
    <row r="463" spans="1:10">
      <c r="A463" s="3265"/>
      <c r="B463" s="3231"/>
      <c r="C463" s="3268"/>
      <c r="D463" s="3110" t="s">
        <v>3949</v>
      </c>
      <c r="E463" s="3109"/>
      <c r="F463" s="3109">
        <v>1997.92</v>
      </c>
      <c r="G463" s="3109"/>
      <c r="H463" s="3109"/>
      <c r="I463" s="3242"/>
      <c r="J463" s="3109">
        <f t="shared" si="17"/>
        <v>1997.92</v>
      </c>
    </row>
    <row r="464" spans="1:10">
      <c r="A464" s="3265"/>
      <c r="B464" s="3231"/>
      <c r="C464" s="3268"/>
      <c r="D464" s="3110" t="s">
        <v>3950</v>
      </c>
      <c r="E464" s="3109"/>
      <c r="F464" s="3109">
        <v>1997.92</v>
      </c>
      <c r="G464" s="3109"/>
      <c r="H464" s="3109"/>
      <c r="I464" s="3242"/>
      <c r="J464" s="3109">
        <f t="shared" si="17"/>
        <v>1997.92</v>
      </c>
    </row>
    <row r="465" spans="1:13">
      <c r="A465" s="3265"/>
      <c r="B465" s="3231"/>
      <c r="C465" s="3268"/>
      <c r="D465" s="3110" t="s">
        <v>3951</v>
      </c>
      <c r="E465" s="3109"/>
      <c r="F465" s="3109">
        <v>625.02</v>
      </c>
      <c r="G465" s="3109"/>
      <c r="H465" s="3109"/>
      <c r="I465" s="3242"/>
      <c r="J465" s="3109">
        <f t="shared" si="17"/>
        <v>625.02</v>
      </c>
    </row>
    <row r="466" spans="1:13">
      <c r="A466" s="3265"/>
      <c r="B466" s="3231"/>
      <c r="C466" s="3268"/>
      <c r="D466" s="3110" t="s">
        <v>3952</v>
      </c>
      <c r="E466" s="3109"/>
      <c r="F466" s="3109">
        <v>2984.64</v>
      </c>
      <c r="G466" s="3109"/>
      <c r="H466" s="3109"/>
      <c r="I466" s="3242"/>
      <c r="J466" s="3109">
        <f t="shared" si="17"/>
        <v>2984.64</v>
      </c>
    </row>
    <row r="467" spans="1:13">
      <c r="A467" s="3265"/>
      <c r="B467" s="3231"/>
      <c r="C467" s="3269"/>
      <c r="D467" s="3110" t="s">
        <v>3953</v>
      </c>
      <c r="E467" s="3109"/>
      <c r="F467" s="3109">
        <v>2741.48</v>
      </c>
      <c r="G467" s="3109"/>
      <c r="H467" s="3109"/>
      <c r="I467" s="3243"/>
      <c r="J467" s="3109">
        <f t="shared" si="17"/>
        <v>2741.48</v>
      </c>
    </row>
    <row r="468" spans="1:13">
      <c r="A468" s="3265"/>
      <c r="B468" s="3231"/>
      <c r="C468" s="3231" t="s">
        <v>40</v>
      </c>
      <c r="D468" s="3231"/>
      <c r="E468" s="3106">
        <f>SUM(E447:E462)</f>
        <v>0</v>
      </c>
      <c r="F468" s="3106">
        <f>SUM(F447:F467)</f>
        <v>37469.06</v>
      </c>
      <c r="G468" s="3106">
        <f>SUM(G447:G462)</f>
        <v>0</v>
      </c>
      <c r="H468" s="3106">
        <f>SUM(H447:H462)</f>
        <v>0</v>
      </c>
      <c r="I468" s="3228">
        <f>SUM(I447)</f>
        <v>38355.919999999998</v>
      </c>
      <c r="J468" s="3228">
        <f>E470+I468</f>
        <v>75824.98</v>
      </c>
    </row>
    <row r="469" spans="1:13">
      <c r="A469" s="3265"/>
      <c r="B469" s="3231"/>
      <c r="C469" s="3231"/>
      <c r="D469" s="3231"/>
      <c r="E469" s="3231">
        <f>SUM(E468:G468)</f>
        <v>37469.06</v>
      </c>
      <c r="F469" s="3231"/>
      <c r="G469" s="3231"/>
      <c r="H469" s="3106"/>
      <c r="I469" s="3229"/>
      <c r="J469" s="3229"/>
    </row>
    <row r="470" spans="1:13">
      <c r="A470" s="3266"/>
      <c r="B470" s="3231"/>
      <c r="C470" s="3231"/>
      <c r="D470" s="3231"/>
      <c r="E470" s="3231">
        <f>SUM(E469:H469)</f>
        <v>37469.06</v>
      </c>
      <c r="F470" s="3231"/>
      <c r="G470" s="3231"/>
      <c r="H470" s="3231"/>
      <c r="I470" s="3230"/>
      <c r="J470" s="3230"/>
      <c r="M470">
        <f>J468+J438+J410+J383+J352+J330+J304+J276+J251+J221+J195+J176+J149+J123+J98+J82+J65+J44+J11</f>
        <v>1589380.696</v>
      </c>
    </row>
    <row r="472" spans="1:13">
      <c r="A472" t="s">
        <v>4015</v>
      </c>
    </row>
    <row r="473" spans="1:13">
      <c r="A473" t="s">
        <v>4016</v>
      </c>
      <c r="B473" t="s">
        <v>3523</v>
      </c>
      <c r="E473" t="s">
        <v>3524</v>
      </c>
      <c r="J473" t="s">
        <v>3525</v>
      </c>
      <c r="K473" t="s">
        <v>4017</v>
      </c>
    </row>
    <row r="474" spans="1:13">
      <c r="B474" t="s">
        <v>3526</v>
      </c>
      <c r="E474" t="s">
        <v>3527</v>
      </c>
      <c r="I474" t="s">
        <v>3528</v>
      </c>
    </row>
    <row r="475" spans="1:13">
      <c r="B475" t="s">
        <v>3529</v>
      </c>
      <c r="E475" t="s">
        <v>3530</v>
      </c>
      <c r="F475" t="s">
        <v>3625</v>
      </c>
      <c r="G475" t="s">
        <v>3531</v>
      </c>
      <c r="H475" t="s">
        <v>3532</v>
      </c>
      <c r="I475" t="s">
        <v>3533</v>
      </c>
      <c r="J475" t="s">
        <v>3534</v>
      </c>
    </row>
    <row r="476" spans="1:13">
      <c r="B476" t="s">
        <v>3623</v>
      </c>
      <c r="E476">
        <v>222316.05</v>
      </c>
      <c r="F476">
        <v>469281.79</v>
      </c>
      <c r="G476">
        <v>63040.880000000005</v>
      </c>
      <c r="H476">
        <v>97384.98000000001</v>
      </c>
      <c r="I476">
        <v>54926.8</v>
      </c>
      <c r="J476">
        <v>680514.41</v>
      </c>
      <c r="K476">
        <v>1587464.9100000001</v>
      </c>
    </row>
    <row r="477" spans="1:13">
      <c r="E477">
        <v>852023.7</v>
      </c>
      <c r="I477">
        <v>54926.8</v>
      </c>
    </row>
    <row r="478" spans="1:13">
      <c r="E478">
        <v>906950.5</v>
      </c>
    </row>
  </sheetData>
  <mergeCells count="245">
    <mergeCell ref="B441:D443"/>
    <mergeCell ref="I441:I443"/>
    <mergeCell ref="J441:J443"/>
    <mergeCell ref="E442:G442"/>
    <mergeCell ref="E443:H443"/>
    <mergeCell ref="A444:A470"/>
    <mergeCell ref="B444:D444"/>
    <mergeCell ref="E444:H444"/>
    <mergeCell ref="J444:J446"/>
    <mergeCell ref="B445:D445"/>
    <mergeCell ref="J468:J470"/>
    <mergeCell ref="E469:G469"/>
    <mergeCell ref="E470:H470"/>
    <mergeCell ref="E445:G445"/>
    <mergeCell ref="H445:I445"/>
    <mergeCell ref="B446:D446"/>
    <mergeCell ref="B447:B470"/>
    <mergeCell ref="C447:C467"/>
    <mergeCell ref="I447:I467"/>
    <mergeCell ref="C468:D470"/>
    <mergeCell ref="I468:I470"/>
    <mergeCell ref="A358:A443"/>
    <mergeCell ref="B358:D358"/>
    <mergeCell ref="E358:H358"/>
    <mergeCell ref="I425:I437"/>
    <mergeCell ref="C438:D440"/>
    <mergeCell ref="I438:I440"/>
    <mergeCell ref="J438:J440"/>
    <mergeCell ref="E439:G439"/>
    <mergeCell ref="E440:H440"/>
    <mergeCell ref="J410:J412"/>
    <mergeCell ref="E411:G411"/>
    <mergeCell ref="E412:H412"/>
    <mergeCell ref="B413:D413"/>
    <mergeCell ref="B414:B440"/>
    <mergeCell ref="C414:C416"/>
    <mergeCell ref="I414:I416"/>
    <mergeCell ref="C417:C424"/>
    <mergeCell ref="I417:I424"/>
    <mergeCell ref="C425:C437"/>
    <mergeCell ref="J358:J360"/>
    <mergeCell ref="B359:D359"/>
    <mergeCell ref="E359:G359"/>
    <mergeCell ref="H359:I359"/>
    <mergeCell ref="B360:D360"/>
    <mergeCell ref="B361:B385"/>
    <mergeCell ref="C361:C369"/>
    <mergeCell ref="B386:D386"/>
    <mergeCell ref="B387:B412"/>
    <mergeCell ref="C387:C388"/>
    <mergeCell ref="I387:I388"/>
    <mergeCell ref="C389:C409"/>
    <mergeCell ref="I389:I409"/>
    <mergeCell ref="C410:D412"/>
    <mergeCell ref="I410:I412"/>
    <mergeCell ref="I361:I368"/>
    <mergeCell ref="C370:C382"/>
    <mergeCell ref="I370:I382"/>
    <mergeCell ref="C383:D385"/>
    <mergeCell ref="I383:I385"/>
    <mergeCell ref="J383:J385"/>
    <mergeCell ref="E384:G384"/>
    <mergeCell ref="E385:H385"/>
    <mergeCell ref="J355:J357"/>
    <mergeCell ref="E356:G356"/>
    <mergeCell ref="E357:H357"/>
    <mergeCell ref="J330:J332"/>
    <mergeCell ref="E331:G331"/>
    <mergeCell ref="E332:H332"/>
    <mergeCell ref="B333:D333"/>
    <mergeCell ref="B334:B354"/>
    <mergeCell ref="C334:C351"/>
    <mergeCell ref="I334:I351"/>
    <mergeCell ref="C352:D354"/>
    <mergeCell ref="I352:I354"/>
    <mergeCell ref="J352:J354"/>
    <mergeCell ref="B307:D307"/>
    <mergeCell ref="B308:B332"/>
    <mergeCell ref="C308:C329"/>
    <mergeCell ref="I308:I329"/>
    <mergeCell ref="C330:D332"/>
    <mergeCell ref="I330:I332"/>
    <mergeCell ref="E353:G353"/>
    <mergeCell ref="E354:H354"/>
    <mergeCell ref="B355:D357"/>
    <mergeCell ref="I355:I357"/>
    <mergeCell ref="C280:C290"/>
    <mergeCell ref="I280:I290"/>
    <mergeCell ref="C291:C303"/>
    <mergeCell ref="I291:I303"/>
    <mergeCell ref="C304:D306"/>
    <mergeCell ref="I304:I306"/>
    <mergeCell ref="J304:J306"/>
    <mergeCell ref="E305:G305"/>
    <mergeCell ref="E306:H306"/>
    <mergeCell ref="J251:J253"/>
    <mergeCell ref="E252:G252"/>
    <mergeCell ref="E253:H253"/>
    <mergeCell ref="B254:D254"/>
    <mergeCell ref="B255:B278"/>
    <mergeCell ref="C255:C261"/>
    <mergeCell ref="I255:I261"/>
    <mergeCell ref="C262:C275"/>
    <mergeCell ref="I262:I275"/>
    <mergeCell ref="C276:D278"/>
    <mergeCell ref="I276:I278"/>
    <mergeCell ref="J276:J278"/>
    <mergeCell ref="E277:G277"/>
    <mergeCell ref="E278:H278"/>
    <mergeCell ref="J221:J223"/>
    <mergeCell ref="E222:G222"/>
    <mergeCell ref="E223:H223"/>
    <mergeCell ref="C195:D197"/>
    <mergeCell ref="I195:I197"/>
    <mergeCell ref="J195:J197"/>
    <mergeCell ref="E196:G196"/>
    <mergeCell ref="E197:H197"/>
    <mergeCell ref="J176:J178"/>
    <mergeCell ref="E177:G177"/>
    <mergeCell ref="E178:H178"/>
    <mergeCell ref="B179:D179"/>
    <mergeCell ref="B180:B197"/>
    <mergeCell ref="C180:C183"/>
    <mergeCell ref="I180:I183"/>
    <mergeCell ref="C184:C187"/>
    <mergeCell ref="I184:I187"/>
    <mergeCell ref="C188:C194"/>
    <mergeCell ref="A126:A357"/>
    <mergeCell ref="B126:D126"/>
    <mergeCell ref="E126:H126"/>
    <mergeCell ref="I188:I194"/>
    <mergeCell ref="E150:G150"/>
    <mergeCell ref="E151:H151"/>
    <mergeCell ref="B198:D198"/>
    <mergeCell ref="B199:B223"/>
    <mergeCell ref="C199:C209"/>
    <mergeCell ref="I199:I209"/>
    <mergeCell ref="C210:C213"/>
    <mergeCell ref="I210:I213"/>
    <mergeCell ref="C214:C220"/>
    <mergeCell ref="I214:I220"/>
    <mergeCell ref="C221:D223"/>
    <mergeCell ref="I221:I223"/>
    <mergeCell ref="B224:D224"/>
    <mergeCell ref="B225:B253"/>
    <mergeCell ref="C225:C250"/>
    <mergeCell ref="I225:I250"/>
    <mergeCell ref="C251:D253"/>
    <mergeCell ref="I251:I253"/>
    <mergeCell ref="B279:D279"/>
    <mergeCell ref="B280:B306"/>
    <mergeCell ref="J126:J128"/>
    <mergeCell ref="B127:D127"/>
    <mergeCell ref="E127:G127"/>
    <mergeCell ref="H127:I127"/>
    <mergeCell ref="B128:D128"/>
    <mergeCell ref="B129:B151"/>
    <mergeCell ref="C129:C133"/>
    <mergeCell ref="B152:D152"/>
    <mergeCell ref="B153:B178"/>
    <mergeCell ref="C153:C170"/>
    <mergeCell ref="I153:I170"/>
    <mergeCell ref="C171:C175"/>
    <mergeCell ref="I171:I175"/>
    <mergeCell ref="C176:D178"/>
    <mergeCell ref="I176:I178"/>
    <mergeCell ref="I129:I133"/>
    <mergeCell ref="C134:C148"/>
    <mergeCell ref="I134:I148"/>
    <mergeCell ref="C149:D151"/>
    <mergeCell ref="I149:I151"/>
    <mergeCell ref="J149:J151"/>
    <mergeCell ref="I107:I122"/>
    <mergeCell ref="C123:D125"/>
    <mergeCell ref="I123:I125"/>
    <mergeCell ref="J123:J125"/>
    <mergeCell ref="E124:G124"/>
    <mergeCell ref="E125:H125"/>
    <mergeCell ref="A104:A125"/>
    <mergeCell ref="B104:D104"/>
    <mergeCell ref="E104:H104"/>
    <mergeCell ref="J104:J106"/>
    <mergeCell ref="B105:D105"/>
    <mergeCell ref="E105:G105"/>
    <mergeCell ref="H105:I105"/>
    <mergeCell ref="B106:D106"/>
    <mergeCell ref="B107:B125"/>
    <mergeCell ref="C107:C122"/>
    <mergeCell ref="E99:G99"/>
    <mergeCell ref="E100:H100"/>
    <mergeCell ref="B101:D103"/>
    <mergeCell ref="I101:I103"/>
    <mergeCell ref="J101:J103"/>
    <mergeCell ref="E102:G102"/>
    <mergeCell ref="E103:H103"/>
    <mergeCell ref="J82:J84"/>
    <mergeCell ref="E83:G83"/>
    <mergeCell ref="E84:H84"/>
    <mergeCell ref="B85:D85"/>
    <mergeCell ref="B86:B100"/>
    <mergeCell ref="C86:C97"/>
    <mergeCell ref="I86:I97"/>
    <mergeCell ref="C98:D100"/>
    <mergeCell ref="I98:I100"/>
    <mergeCell ref="J98:J100"/>
    <mergeCell ref="B68:D68"/>
    <mergeCell ref="B69:B84"/>
    <mergeCell ref="C69:C81"/>
    <mergeCell ref="I69:I81"/>
    <mergeCell ref="C82:D84"/>
    <mergeCell ref="I82:I84"/>
    <mergeCell ref="J44:J46"/>
    <mergeCell ref="E45:G45"/>
    <mergeCell ref="E46:H46"/>
    <mergeCell ref="B47:D47"/>
    <mergeCell ref="B48:B67"/>
    <mergeCell ref="C48:C64"/>
    <mergeCell ref="I48:I64"/>
    <mergeCell ref="C65:D67"/>
    <mergeCell ref="I65:I67"/>
    <mergeCell ref="J65:J67"/>
    <mergeCell ref="J11:J13"/>
    <mergeCell ref="E12:G12"/>
    <mergeCell ref="E13:H13"/>
    <mergeCell ref="A1:A103"/>
    <mergeCell ref="B1:D1"/>
    <mergeCell ref="E1:H1"/>
    <mergeCell ref="J1:J3"/>
    <mergeCell ref="B2:D2"/>
    <mergeCell ref="E2:G2"/>
    <mergeCell ref="H2:I2"/>
    <mergeCell ref="B3:D3"/>
    <mergeCell ref="B4:B13"/>
    <mergeCell ref="C4:C10"/>
    <mergeCell ref="B14:D14"/>
    <mergeCell ref="B15:B46"/>
    <mergeCell ref="C15:C43"/>
    <mergeCell ref="I15:I43"/>
    <mergeCell ref="C44:D46"/>
    <mergeCell ref="I44:I46"/>
    <mergeCell ref="I4:I10"/>
    <mergeCell ref="C11:D13"/>
    <mergeCell ref="I11:I13"/>
    <mergeCell ref="E66:G66"/>
    <mergeCell ref="E67:H67"/>
  </mergeCells>
  <phoneticPr fontId="1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Right="0"/>
  </sheetPr>
  <dimension ref="B1:S112"/>
  <sheetViews>
    <sheetView topLeftCell="C3" zoomScaleNormal="100" workbookViewId="0">
      <pane xSplit="4" ySplit="1" topLeftCell="G4" activePane="bottomRight" state="frozen"/>
      <selection activeCell="C3" sqref="C3"/>
      <selection pane="topRight" activeCell="G3" sqref="G3"/>
      <selection pane="bottomLeft" activeCell="C4" sqref="C4"/>
      <selection pane="bottomRight" activeCell="I12" sqref="I12"/>
    </sheetView>
  </sheetViews>
  <sheetFormatPr baseColWidth="10" defaultColWidth="10.83203125" defaultRowHeight="33" customHeight="1" outlineLevelRow="1"/>
  <cols>
    <col min="1" max="1" width="0.83203125" style="2998" customWidth="1"/>
    <col min="2" max="3" width="7.83203125" style="2998" customWidth="1"/>
    <col min="4" max="4" width="18.5" style="3104" customWidth="1"/>
    <col min="5" max="5" width="16.6640625" style="3104" customWidth="1"/>
    <col min="6" max="6" width="10.33203125" style="2998" customWidth="1"/>
    <col min="7" max="7" width="10.83203125" style="2998"/>
    <col min="8" max="8" width="8" style="2998" customWidth="1"/>
    <col min="9" max="12" width="10.6640625" style="2998" customWidth="1"/>
    <col min="13" max="13" width="10.6640625" style="2999" customWidth="1"/>
    <col min="14" max="14" width="16.6640625" style="2998" customWidth="1"/>
    <col min="15" max="15" width="7.1640625" style="2998" customWidth="1"/>
    <col min="16" max="16" width="21.1640625" style="2998" customWidth="1"/>
    <col min="17" max="17" width="20.1640625" style="2998" customWidth="1"/>
    <col min="18" max="19" width="10.83203125" style="3132"/>
    <col min="20" max="16384" width="10.83203125" style="2998"/>
  </cols>
  <sheetData>
    <row r="1" spans="2:19" ht="7" customHeight="1"/>
    <row r="2" spans="2:19" ht="33" customHeight="1">
      <c r="I2" s="2998" t="s">
        <v>3468</v>
      </c>
    </row>
    <row r="3" spans="2:19" ht="33" customHeight="1" thickBot="1">
      <c r="B3" s="3000"/>
      <c r="C3" s="3000"/>
      <c r="D3" s="2972" t="s">
        <v>3463</v>
      </c>
      <c r="E3" s="2972" t="s">
        <v>1364</v>
      </c>
      <c r="F3" s="3000" t="s">
        <v>3466</v>
      </c>
      <c r="G3" s="3000" t="s">
        <v>3148</v>
      </c>
      <c r="H3" s="3000" t="s">
        <v>3467</v>
      </c>
      <c r="I3" s="3000" t="s">
        <v>3127</v>
      </c>
      <c r="J3" s="3000" t="s">
        <v>3121</v>
      </c>
      <c r="K3" s="3000" t="s">
        <v>3104</v>
      </c>
      <c r="L3" s="3000" t="s">
        <v>3469</v>
      </c>
      <c r="M3" s="3001" t="s">
        <v>3519</v>
      </c>
      <c r="N3" s="3000"/>
      <c r="O3" s="3000" t="s">
        <v>3470</v>
      </c>
      <c r="P3" s="3000" t="s">
        <v>4075</v>
      </c>
      <c r="Q3" s="3000"/>
      <c r="R3" s="3133" t="s">
        <v>4019</v>
      </c>
      <c r="S3" s="3133" t="s">
        <v>4018</v>
      </c>
    </row>
    <row r="4" spans="2:19" ht="33" customHeight="1" outlineLevel="1" thickTop="1">
      <c r="B4" s="3002"/>
      <c r="C4" s="3002"/>
      <c r="D4" s="3322" t="s">
        <v>3464</v>
      </c>
      <c r="E4" s="3322" t="s">
        <v>3465</v>
      </c>
      <c r="F4" s="3002" t="s">
        <v>3471</v>
      </c>
      <c r="G4" s="3002"/>
      <c r="H4" s="3002">
        <v>2</v>
      </c>
      <c r="I4" s="3002">
        <f>SUM(J4:M4)</f>
        <v>1823.21</v>
      </c>
      <c r="J4" s="3002"/>
      <c r="K4" s="3002">
        <v>1507.77</v>
      </c>
      <c r="L4" s="3002"/>
      <c r="M4" s="3003">
        <v>315.44</v>
      </c>
      <c r="N4" s="3002" t="s">
        <v>3477</v>
      </c>
      <c r="O4" s="3002"/>
      <c r="P4" s="3002"/>
      <c r="Q4" s="3002"/>
    </row>
    <row r="5" spans="2:19" ht="33" customHeight="1" outlineLevel="1">
      <c r="B5" s="3002"/>
      <c r="C5" s="3002"/>
      <c r="D5" s="3323"/>
      <c r="E5" s="3323"/>
      <c r="F5" s="3002" t="s">
        <v>3472</v>
      </c>
      <c r="G5" s="3002"/>
      <c r="H5" s="3002">
        <v>3</v>
      </c>
      <c r="I5" s="3002">
        <f t="shared" ref="I5:I68" si="0">SUM(J5:M5)</f>
        <v>4138.22</v>
      </c>
      <c r="J5" s="3002"/>
      <c r="K5" s="3002">
        <v>3761.64</v>
      </c>
      <c r="L5" s="3002"/>
      <c r="M5" s="3003">
        <v>376.58</v>
      </c>
      <c r="N5" s="3002" t="s">
        <v>3477</v>
      </c>
      <c r="O5" s="3002"/>
      <c r="P5" s="3002"/>
      <c r="Q5" s="3002"/>
    </row>
    <row r="6" spans="2:19" ht="33" customHeight="1" outlineLevel="1">
      <c r="B6" s="3002"/>
      <c r="C6" s="3002"/>
      <c r="D6" s="3323"/>
      <c r="E6" s="3323"/>
      <c r="F6" s="3002" t="s">
        <v>3473</v>
      </c>
      <c r="G6" s="3002"/>
      <c r="H6" s="3002">
        <v>4</v>
      </c>
      <c r="I6" s="3002">
        <f t="shared" si="0"/>
        <v>12754.66</v>
      </c>
      <c r="J6" s="3002"/>
      <c r="K6" s="3002">
        <v>12508.76</v>
      </c>
      <c r="L6" s="3002"/>
      <c r="M6" s="3003">
        <v>245.9</v>
      </c>
      <c r="N6" s="3002" t="s">
        <v>3477</v>
      </c>
      <c r="O6" s="3002"/>
      <c r="P6" s="3002"/>
      <c r="Q6" s="3002"/>
    </row>
    <row r="7" spans="2:19" ht="33" customHeight="1" outlineLevel="1">
      <c r="B7" s="3002"/>
      <c r="C7" s="3002"/>
      <c r="D7" s="3323"/>
      <c r="E7" s="3323"/>
      <c r="F7" s="3002" t="s">
        <v>3474</v>
      </c>
      <c r="G7" s="3002"/>
      <c r="H7" s="3002">
        <v>2</v>
      </c>
      <c r="I7" s="3002">
        <f t="shared" si="0"/>
        <v>2157.7399999999998</v>
      </c>
      <c r="J7" s="3002"/>
      <c r="K7" s="3002">
        <v>1986.84</v>
      </c>
      <c r="L7" s="3002"/>
      <c r="M7" s="3003">
        <v>170.9</v>
      </c>
      <c r="N7" s="3002" t="s">
        <v>3477</v>
      </c>
      <c r="O7" s="3002"/>
      <c r="P7" s="3002"/>
      <c r="Q7" s="3002"/>
    </row>
    <row r="8" spans="2:19" ht="33" customHeight="1" outlineLevel="1">
      <c r="B8" s="3002"/>
      <c r="C8" s="3002"/>
      <c r="D8" s="3323"/>
      <c r="E8" s="3323"/>
      <c r="F8" s="3002" t="s">
        <v>3475</v>
      </c>
      <c r="G8" s="3002"/>
      <c r="H8" s="3002">
        <v>2</v>
      </c>
      <c r="I8" s="3002">
        <f t="shared" si="0"/>
        <v>6422.32</v>
      </c>
      <c r="J8" s="3002"/>
      <c r="K8" s="3002">
        <v>5790.4</v>
      </c>
      <c r="L8" s="3002"/>
      <c r="M8" s="3003">
        <v>631.91999999999996</v>
      </c>
      <c r="N8" s="3002" t="s">
        <v>3477</v>
      </c>
      <c r="O8" s="3002"/>
      <c r="P8" s="3002"/>
      <c r="Q8" s="3002"/>
    </row>
    <row r="9" spans="2:19" ht="33" customHeight="1" outlineLevel="1">
      <c r="B9" s="3002"/>
      <c r="C9" s="3002"/>
      <c r="D9" s="3323"/>
      <c r="E9" s="3323"/>
      <c r="F9" s="3002" t="s">
        <v>3476</v>
      </c>
      <c r="G9" s="3002"/>
      <c r="H9" s="3002">
        <v>-1</v>
      </c>
      <c r="I9" s="3002">
        <f t="shared" si="0"/>
        <v>18447.849999999999</v>
      </c>
      <c r="J9" s="3002"/>
      <c r="K9" s="3002">
        <v>4355.2</v>
      </c>
      <c r="L9" s="3002"/>
      <c r="M9" s="3003">
        <v>14092.65</v>
      </c>
      <c r="N9" s="3002" t="s">
        <v>3478</v>
      </c>
      <c r="O9" s="3002"/>
      <c r="P9" s="3002"/>
      <c r="Q9" s="3002"/>
    </row>
    <row r="10" spans="2:19" ht="33" customHeight="1">
      <c r="B10" s="3002"/>
      <c r="C10" s="3002"/>
      <c r="D10" s="3323"/>
      <c r="E10" s="3323"/>
      <c r="F10" s="3006" t="s">
        <v>3462</v>
      </c>
      <c r="G10" s="3008"/>
      <c r="H10" s="3007"/>
      <c r="I10" s="3006">
        <f>SUM(I4:I9)</f>
        <v>45744</v>
      </c>
      <c r="J10" s="3006">
        <f t="shared" ref="J10:L10" si="1">SUM(J4:J9)</f>
        <v>0</v>
      </c>
      <c r="K10" s="3006">
        <f t="shared" si="1"/>
        <v>29910.609999999997</v>
      </c>
      <c r="L10" s="3006">
        <f t="shared" si="1"/>
        <v>0</v>
      </c>
      <c r="M10" s="3006">
        <f>SUM(M4:M9)</f>
        <v>15833.39</v>
      </c>
      <c r="N10" s="3008"/>
      <c r="O10" s="3008"/>
      <c r="P10" s="3004"/>
      <c r="Q10" s="3004"/>
    </row>
    <row r="11" spans="2:19" ht="33" customHeight="1" outlineLevel="1">
      <c r="B11" s="3002"/>
      <c r="C11" s="3002"/>
      <c r="D11" s="3323" t="s">
        <v>3479</v>
      </c>
      <c r="E11" s="3323" t="s">
        <v>3480</v>
      </c>
      <c r="F11" s="3002" t="s">
        <v>3481</v>
      </c>
      <c r="G11" s="2998" t="s">
        <v>3443</v>
      </c>
      <c r="H11" s="3002">
        <v>4</v>
      </c>
      <c r="I11" s="3002">
        <f t="shared" si="0"/>
        <v>5136.8999999999996</v>
      </c>
      <c r="J11" s="3002">
        <v>3744</v>
      </c>
      <c r="K11" s="3002"/>
      <c r="L11" s="3002"/>
      <c r="M11" s="3003">
        <v>1392.9</v>
      </c>
      <c r="N11" s="3002" t="s">
        <v>3483</v>
      </c>
      <c r="O11" s="3002">
        <v>28</v>
      </c>
      <c r="P11" s="3002"/>
      <c r="Q11" s="3002"/>
      <c r="R11" s="3132">
        <f>J11</f>
        <v>3744</v>
      </c>
    </row>
    <row r="12" spans="2:19" ht="33" customHeight="1" outlineLevel="1">
      <c r="B12" s="3002"/>
      <c r="C12" s="3002"/>
      <c r="D12" s="3323"/>
      <c r="E12" s="3323"/>
      <c r="F12" s="3002" t="s">
        <v>3482</v>
      </c>
      <c r="G12" s="2998" t="s">
        <v>3443</v>
      </c>
      <c r="H12" s="3002">
        <v>4</v>
      </c>
      <c r="I12" s="3002">
        <f t="shared" si="0"/>
        <v>4577.46</v>
      </c>
      <c r="J12" s="3002">
        <v>3347.5</v>
      </c>
      <c r="K12" s="3004"/>
      <c r="L12" s="3004"/>
      <c r="M12" s="3005">
        <v>1229.96</v>
      </c>
      <c r="N12" s="3002" t="s">
        <v>3483</v>
      </c>
      <c r="O12" s="3004">
        <v>25</v>
      </c>
      <c r="P12" s="3004"/>
      <c r="Q12" s="3004"/>
      <c r="R12" s="3132">
        <f>J12</f>
        <v>3347.5</v>
      </c>
    </row>
    <row r="13" spans="2:19" ht="33" customHeight="1">
      <c r="B13" s="3002"/>
      <c r="C13" s="3002"/>
      <c r="D13" s="3323"/>
      <c r="E13" s="3323"/>
      <c r="F13" s="3006" t="s">
        <v>3462</v>
      </c>
      <c r="G13" s="3006"/>
      <c r="H13" s="3006"/>
      <c r="I13" s="3006">
        <f>SUM(I11:I12)</f>
        <v>9714.36</v>
      </c>
      <c r="J13" s="3006">
        <f t="shared" ref="J13:O13" si="2">SUM(J11:J12)</f>
        <v>7091.5</v>
      </c>
      <c r="K13" s="3006">
        <f t="shared" si="2"/>
        <v>0</v>
      </c>
      <c r="L13" s="3006">
        <f t="shared" si="2"/>
        <v>0</v>
      </c>
      <c r="M13" s="3006">
        <f t="shared" si="2"/>
        <v>2622.86</v>
      </c>
      <c r="N13" s="3006"/>
      <c r="O13" s="3006">
        <f t="shared" si="2"/>
        <v>53</v>
      </c>
      <c r="P13" s="3002"/>
      <c r="Q13" s="3002"/>
      <c r="S13" s="3134"/>
    </row>
    <row r="14" spans="2:19" ht="33" customHeight="1" outlineLevel="1">
      <c r="B14" s="3002"/>
      <c r="C14" s="3002"/>
      <c r="D14" s="3323" t="s">
        <v>3484</v>
      </c>
      <c r="E14" s="3323" t="s">
        <v>3485</v>
      </c>
      <c r="F14" s="3002" t="s">
        <v>3486</v>
      </c>
      <c r="G14" s="3002" t="s">
        <v>3157</v>
      </c>
      <c r="H14" s="3002">
        <v>4</v>
      </c>
      <c r="I14" s="3002">
        <f t="shared" si="0"/>
        <v>5095.7000000000007</v>
      </c>
      <c r="J14" s="3002">
        <v>3702.8</v>
      </c>
      <c r="K14" s="3002"/>
      <c r="L14" s="3002"/>
      <c r="M14" s="3003">
        <v>1392.9</v>
      </c>
      <c r="N14" s="3002" t="s">
        <v>3483</v>
      </c>
      <c r="O14" s="3002">
        <v>28</v>
      </c>
      <c r="P14" s="3002" t="s">
        <v>4077</v>
      </c>
      <c r="Q14" s="3002"/>
      <c r="R14" s="3132">
        <f t="shared" ref="R14:R46" si="3">J14</f>
        <v>3702.8</v>
      </c>
      <c r="S14" s="3134"/>
    </row>
    <row r="15" spans="2:19" ht="33" customHeight="1" outlineLevel="1">
      <c r="B15" s="3002"/>
      <c r="C15" s="3002"/>
      <c r="D15" s="3323"/>
      <c r="E15" s="3323"/>
      <c r="F15" s="3002" t="s">
        <v>3487</v>
      </c>
      <c r="G15" s="3002" t="s">
        <v>3157</v>
      </c>
      <c r="H15" s="3002">
        <v>4</v>
      </c>
      <c r="I15" s="3002">
        <f t="shared" si="0"/>
        <v>5095.7000000000007</v>
      </c>
      <c r="J15" s="3002">
        <v>3702.8</v>
      </c>
      <c r="K15" s="3002"/>
      <c r="L15" s="3002"/>
      <c r="M15" s="3003">
        <v>1392.9</v>
      </c>
      <c r="N15" s="3002" t="s">
        <v>3483</v>
      </c>
      <c r="O15" s="3002">
        <v>28</v>
      </c>
      <c r="P15" s="3002" t="s">
        <v>4077</v>
      </c>
      <c r="Q15" s="3002"/>
      <c r="R15" s="3132">
        <f t="shared" si="3"/>
        <v>3702.8</v>
      </c>
      <c r="S15" s="3134"/>
    </row>
    <row r="16" spans="2:19" ht="33" customHeight="1" outlineLevel="1">
      <c r="B16" s="3002"/>
      <c r="C16" s="3002"/>
      <c r="D16" s="3323"/>
      <c r="E16" s="3323"/>
      <c r="F16" s="3002" t="s">
        <v>3488</v>
      </c>
      <c r="G16" s="3002" t="s">
        <v>3157</v>
      </c>
      <c r="H16" s="3002">
        <v>4</v>
      </c>
      <c r="I16" s="3002">
        <f t="shared" si="0"/>
        <v>5095.7000000000007</v>
      </c>
      <c r="J16" s="3002">
        <v>3702.8</v>
      </c>
      <c r="K16" s="3002"/>
      <c r="L16" s="3002"/>
      <c r="M16" s="3003">
        <v>1392.9</v>
      </c>
      <c r="N16" s="3002" t="s">
        <v>3483</v>
      </c>
      <c r="O16" s="3002">
        <v>28</v>
      </c>
      <c r="P16" s="3002" t="s">
        <v>4076</v>
      </c>
      <c r="Q16" s="3002"/>
      <c r="R16" s="3132">
        <f t="shared" si="3"/>
        <v>3702.8</v>
      </c>
      <c r="S16" s="3134"/>
    </row>
    <row r="17" spans="2:19" ht="33" customHeight="1" outlineLevel="1">
      <c r="B17" s="3002"/>
      <c r="C17" s="3002"/>
      <c r="D17" s="3323"/>
      <c r="E17" s="3323"/>
      <c r="F17" s="3002" t="s">
        <v>3489</v>
      </c>
      <c r="G17" s="3131" t="s">
        <v>3157</v>
      </c>
      <c r="H17" s="3002">
        <v>4</v>
      </c>
      <c r="I17" s="3002">
        <f t="shared" si="0"/>
        <v>5095.7000000000007</v>
      </c>
      <c r="J17" s="3002">
        <v>3702.8</v>
      </c>
      <c r="K17" s="3002"/>
      <c r="L17" s="3002"/>
      <c r="M17" s="3003">
        <v>1392.9</v>
      </c>
      <c r="N17" s="3002" t="s">
        <v>3483</v>
      </c>
      <c r="O17" s="3002">
        <v>28</v>
      </c>
      <c r="P17" s="3002"/>
      <c r="Q17" s="3002"/>
      <c r="R17" s="3132">
        <f t="shared" si="3"/>
        <v>3702.8</v>
      </c>
      <c r="S17" s="3134"/>
    </row>
    <row r="18" spans="2:19" ht="33" customHeight="1" outlineLevel="1">
      <c r="B18" s="3002"/>
      <c r="C18" s="3002"/>
      <c r="D18" s="3323"/>
      <c r="E18" s="3323"/>
      <c r="F18" s="3002" t="s">
        <v>3490</v>
      </c>
      <c r="G18" s="3002" t="s">
        <v>3442</v>
      </c>
      <c r="H18" s="3002">
        <v>4</v>
      </c>
      <c r="I18" s="3002">
        <f t="shared" si="0"/>
        <v>5095.7000000000007</v>
      </c>
      <c r="J18" s="3002">
        <v>3702.8</v>
      </c>
      <c r="K18" s="3002"/>
      <c r="L18" s="3002"/>
      <c r="M18" s="3003">
        <v>1392.9</v>
      </c>
      <c r="N18" s="3002" t="s">
        <v>3483</v>
      </c>
      <c r="O18" s="3002">
        <v>28</v>
      </c>
      <c r="P18" s="3002" t="s">
        <v>4079</v>
      </c>
      <c r="Q18" s="3002"/>
      <c r="R18" s="3132">
        <f t="shared" si="3"/>
        <v>3702.8</v>
      </c>
      <c r="S18" s="3134"/>
    </row>
    <row r="19" spans="2:19" ht="33" customHeight="1" outlineLevel="1">
      <c r="B19" s="3002"/>
      <c r="C19" s="3002"/>
      <c r="D19" s="3323"/>
      <c r="E19" s="3323"/>
      <c r="F19" s="3002" t="s">
        <v>3491</v>
      </c>
      <c r="G19" s="3002" t="s">
        <v>3157</v>
      </c>
      <c r="H19" s="3002">
        <v>4</v>
      </c>
      <c r="I19" s="3002">
        <f t="shared" si="0"/>
        <v>2212.1</v>
      </c>
      <c r="J19" s="3002">
        <v>1613.84</v>
      </c>
      <c r="K19" s="3002"/>
      <c r="L19" s="3002"/>
      <c r="M19" s="3003">
        <v>598.26</v>
      </c>
      <c r="N19" s="3002" t="s">
        <v>3483</v>
      </c>
      <c r="O19" s="3002">
        <v>12</v>
      </c>
      <c r="P19" s="3002"/>
      <c r="Q19" s="3002"/>
      <c r="R19" s="3132">
        <f t="shared" si="3"/>
        <v>1613.84</v>
      </c>
      <c r="S19" s="3134"/>
    </row>
    <row r="20" spans="2:19" ht="33" customHeight="1" outlineLevel="1">
      <c r="B20" s="3002"/>
      <c r="C20" s="3002"/>
      <c r="D20" s="3323"/>
      <c r="E20" s="3323"/>
      <c r="F20" s="3002" t="s">
        <v>3492</v>
      </c>
      <c r="G20" s="3002" t="s">
        <v>3443</v>
      </c>
      <c r="H20" s="3002">
        <v>4</v>
      </c>
      <c r="I20" s="3002">
        <f t="shared" si="0"/>
        <v>3317.63</v>
      </c>
      <c r="J20" s="3002">
        <v>2405.2800000000002</v>
      </c>
      <c r="K20" s="3002"/>
      <c r="L20" s="3002"/>
      <c r="M20" s="3003">
        <v>912.35</v>
      </c>
      <c r="N20" s="3002" t="s">
        <v>3483</v>
      </c>
      <c r="O20" s="3002">
        <v>18</v>
      </c>
      <c r="P20" s="3002"/>
      <c r="Q20" s="3002"/>
      <c r="R20" s="3132">
        <f t="shared" si="3"/>
        <v>2405.2800000000002</v>
      </c>
      <c r="S20" s="3134"/>
    </row>
    <row r="21" spans="2:19" ht="33" customHeight="1" outlineLevel="1">
      <c r="B21" s="3002"/>
      <c r="C21" s="3002"/>
      <c r="D21" s="3323"/>
      <c r="E21" s="3323"/>
      <c r="F21" s="3004" t="s">
        <v>3493</v>
      </c>
      <c r="G21" s="3002" t="s">
        <v>3157</v>
      </c>
      <c r="H21" s="3002">
        <v>4</v>
      </c>
      <c r="I21" s="3002">
        <f t="shared" si="0"/>
        <v>2869.3</v>
      </c>
      <c r="J21" s="3002">
        <v>2010.1</v>
      </c>
      <c r="K21" s="3002"/>
      <c r="L21" s="3002"/>
      <c r="M21" s="3003">
        <v>859.2</v>
      </c>
      <c r="N21" s="3002" t="s">
        <v>3483</v>
      </c>
      <c r="O21" s="3002">
        <v>15</v>
      </c>
      <c r="P21" s="3002" t="s">
        <v>4078</v>
      </c>
      <c r="Q21" s="3002"/>
      <c r="R21" s="3132">
        <f t="shared" si="3"/>
        <v>2010.1</v>
      </c>
      <c r="S21" s="3134"/>
    </row>
    <row r="22" spans="2:19" ht="33" customHeight="1" outlineLevel="1">
      <c r="B22" s="3002"/>
      <c r="C22" s="3002"/>
      <c r="D22" s="3323"/>
      <c r="E22" s="3323"/>
      <c r="F22" s="3004" t="s">
        <v>3494</v>
      </c>
      <c r="G22" s="3002" t="s">
        <v>3157</v>
      </c>
      <c r="H22" s="3002">
        <v>4</v>
      </c>
      <c r="I22" s="3002">
        <f t="shared" si="0"/>
        <v>4376.8</v>
      </c>
      <c r="J22" s="3002">
        <v>3182.56</v>
      </c>
      <c r="K22" s="3002"/>
      <c r="L22" s="3002"/>
      <c r="M22" s="3003">
        <v>1194.24</v>
      </c>
      <c r="N22" s="3002" t="s">
        <v>3483</v>
      </c>
      <c r="O22" s="3002">
        <v>24</v>
      </c>
      <c r="P22" s="3002"/>
      <c r="Q22" s="3002"/>
      <c r="R22" s="3132">
        <f t="shared" si="3"/>
        <v>3182.56</v>
      </c>
      <c r="S22" s="3134"/>
    </row>
    <row r="23" spans="2:19" ht="33" customHeight="1" outlineLevel="1">
      <c r="B23" s="3002"/>
      <c r="C23" s="3002"/>
      <c r="D23" s="3323"/>
      <c r="E23" s="3323"/>
      <c r="F23" s="3004" t="s">
        <v>3495</v>
      </c>
      <c r="G23" s="3002" t="s">
        <v>3443</v>
      </c>
      <c r="H23" s="3002">
        <v>4</v>
      </c>
      <c r="I23" s="3002">
        <f t="shared" si="0"/>
        <v>4376.8</v>
      </c>
      <c r="J23" s="3002">
        <v>3182.56</v>
      </c>
      <c r="K23" s="3002"/>
      <c r="L23" s="3002"/>
      <c r="M23" s="3003">
        <v>1194.24</v>
      </c>
      <c r="N23" s="3002" t="s">
        <v>3483</v>
      </c>
      <c r="O23" s="3002">
        <v>24</v>
      </c>
      <c r="P23" s="3002"/>
      <c r="Q23" s="3002"/>
      <c r="R23" s="3132">
        <f t="shared" si="3"/>
        <v>3182.56</v>
      </c>
      <c r="S23" s="3134"/>
    </row>
    <row r="24" spans="2:19" ht="33" customHeight="1" outlineLevel="1">
      <c r="B24" s="3002"/>
      <c r="C24" s="3002"/>
      <c r="D24" s="3323"/>
      <c r="E24" s="3323"/>
      <c r="F24" s="3004" t="s">
        <v>3496</v>
      </c>
      <c r="G24" s="3002" t="s">
        <v>3443</v>
      </c>
      <c r="H24" s="3002">
        <v>4</v>
      </c>
      <c r="I24" s="3002">
        <f t="shared" si="0"/>
        <v>1284.79</v>
      </c>
      <c r="J24" s="3002">
        <v>923.02</v>
      </c>
      <c r="K24" s="3002"/>
      <c r="L24" s="3002"/>
      <c r="M24" s="3003">
        <v>361.77</v>
      </c>
      <c r="N24" s="3002" t="s">
        <v>3483</v>
      </c>
      <c r="O24" s="3002">
        <v>7</v>
      </c>
      <c r="P24" s="3002"/>
      <c r="Q24" s="3002"/>
      <c r="R24" s="3132">
        <f t="shared" si="3"/>
        <v>923.02</v>
      </c>
      <c r="S24" s="3134"/>
    </row>
    <row r="25" spans="2:19" ht="33" customHeight="1" outlineLevel="1">
      <c r="B25" s="3002"/>
      <c r="C25" s="3002"/>
      <c r="D25" s="3323"/>
      <c r="E25" s="3323"/>
      <c r="F25" s="3004" t="s">
        <v>3497</v>
      </c>
      <c r="G25" s="3002" t="s">
        <v>3157</v>
      </c>
      <c r="H25" s="3002">
        <v>4</v>
      </c>
      <c r="I25" s="3002">
        <f t="shared" si="0"/>
        <v>4376.8</v>
      </c>
      <c r="J25" s="3004">
        <v>3182.56</v>
      </c>
      <c r="K25" s="3002"/>
      <c r="L25" s="3002"/>
      <c r="M25" s="3003">
        <v>1194.24</v>
      </c>
      <c r="N25" s="3002" t="s">
        <v>3483</v>
      </c>
      <c r="O25" s="3002">
        <v>24</v>
      </c>
      <c r="P25" s="3002" t="s">
        <v>4078</v>
      </c>
      <c r="Q25" s="3002"/>
      <c r="R25" s="3132">
        <f t="shared" si="3"/>
        <v>3182.56</v>
      </c>
      <c r="S25" s="3134"/>
    </row>
    <row r="26" spans="2:19" ht="33" customHeight="1" outlineLevel="1">
      <c r="B26" s="3002"/>
      <c r="C26" s="3002"/>
      <c r="D26" s="3323"/>
      <c r="E26" s="3323"/>
      <c r="F26" s="3004" t="s">
        <v>3498</v>
      </c>
      <c r="G26" s="3002" t="s">
        <v>3443</v>
      </c>
      <c r="H26" s="3002">
        <v>4</v>
      </c>
      <c r="I26" s="3002">
        <f>SUM(J26:M26)</f>
        <v>4376.8</v>
      </c>
      <c r="J26" s="3004">
        <v>3182.56</v>
      </c>
      <c r="K26" s="3002"/>
      <c r="L26" s="3002"/>
      <c r="M26" s="3003">
        <v>1194.24</v>
      </c>
      <c r="N26" s="3002" t="s">
        <v>3483</v>
      </c>
      <c r="O26" s="3002">
        <v>24</v>
      </c>
      <c r="P26" s="3002"/>
      <c r="Q26" s="3002"/>
      <c r="R26" s="3132">
        <f t="shared" si="3"/>
        <v>3182.56</v>
      </c>
      <c r="S26" s="3134"/>
    </row>
    <row r="27" spans="2:19" ht="33" customHeight="1" outlineLevel="1">
      <c r="D27" s="3323"/>
      <c r="E27" s="3323"/>
      <c r="F27" s="3004" t="s">
        <v>3499</v>
      </c>
      <c r="G27" s="2998" t="s">
        <v>3443</v>
      </c>
      <c r="H27" s="3002">
        <v>4</v>
      </c>
      <c r="I27" s="3002">
        <f t="shared" si="0"/>
        <v>4958.21</v>
      </c>
      <c r="J27" s="2998">
        <v>3600.86</v>
      </c>
      <c r="M27" s="3003">
        <v>1357.35</v>
      </c>
      <c r="N27" s="3002" t="s">
        <v>3483</v>
      </c>
      <c r="O27" s="2998">
        <v>27</v>
      </c>
      <c r="R27" s="3132">
        <f t="shared" si="3"/>
        <v>3600.86</v>
      </c>
      <c r="S27" s="3134"/>
    </row>
    <row r="28" spans="2:19" ht="33" customHeight="1" outlineLevel="1">
      <c r="D28" s="3323"/>
      <c r="E28" s="3323"/>
      <c r="F28" s="3004" t="s">
        <v>3500</v>
      </c>
      <c r="G28" s="3002" t="s">
        <v>3157</v>
      </c>
      <c r="H28" s="3002">
        <v>4</v>
      </c>
      <c r="I28" s="3002">
        <f t="shared" si="0"/>
        <v>3643.69</v>
      </c>
      <c r="J28" s="2998">
        <v>2483.59</v>
      </c>
      <c r="M28" s="3003">
        <v>1160.0999999999999</v>
      </c>
      <c r="N28" s="3002" t="s">
        <v>3483</v>
      </c>
      <c r="O28" s="2998">
        <v>16</v>
      </c>
      <c r="R28" s="3132">
        <f t="shared" si="3"/>
        <v>2483.59</v>
      </c>
      <c r="S28" s="3134"/>
    </row>
    <row r="29" spans="2:19" ht="33" customHeight="1" outlineLevel="1">
      <c r="D29" s="3323"/>
      <c r="E29" s="3323"/>
      <c r="F29" s="3004" t="s">
        <v>3501</v>
      </c>
      <c r="G29" s="3002" t="s">
        <v>3157</v>
      </c>
      <c r="H29" s="3002">
        <v>4</v>
      </c>
      <c r="I29" s="3002">
        <f t="shared" si="0"/>
        <v>3643.69</v>
      </c>
      <c r="J29" s="2998">
        <v>2483.59</v>
      </c>
      <c r="M29" s="2999">
        <v>1160.0999999999999</v>
      </c>
      <c r="N29" s="3002" t="s">
        <v>3483</v>
      </c>
      <c r="O29" s="2998">
        <v>16</v>
      </c>
      <c r="R29" s="3132">
        <f t="shared" si="3"/>
        <v>2483.59</v>
      </c>
      <c r="S29" s="3134"/>
    </row>
    <row r="30" spans="2:19" ht="33" customHeight="1" outlineLevel="1">
      <c r="D30" s="3323"/>
      <c r="E30" s="3323"/>
      <c r="F30" s="3004" t="s">
        <v>3502</v>
      </c>
      <c r="G30" s="2998" t="s">
        <v>3443</v>
      </c>
      <c r="H30" s="3002">
        <v>4</v>
      </c>
      <c r="I30" s="3002">
        <f t="shared" si="0"/>
        <v>2731.47</v>
      </c>
      <c r="J30" s="2998">
        <v>1862.04</v>
      </c>
      <c r="M30" s="2999">
        <v>869.43</v>
      </c>
      <c r="N30" s="3002" t="s">
        <v>3483</v>
      </c>
      <c r="O30" s="2998">
        <v>12</v>
      </c>
      <c r="R30" s="3132">
        <f t="shared" si="3"/>
        <v>1862.04</v>
      </c>
      <c r="S30" s="3134"/>
    </row>
    <row r="31" spans="2:19" ht="33" customHeight="1" outlineLevel="1">
      <c r="D31" s="3323"/>
      <c r="E31" s="3323"/>
      <c r="F31" s="3004" t="s">
        <v>3503</v>
      </c>
      <c r="G31" s="3002" t="s">
        <v>3157</v>
      </c>
      <c r="H31" s="3002">
        <v>4</v>
      </c>
      <c r="I31" s="3002">
        <f t="shared" si="0"/>
        <v>3643.69</v>
      </c>
      <c r="J31" s="2998">
        <v>2483.59</v>
      </c>
      <c r="M31" s="2999">
        <v>1160.0999999999999</v>
      </c>
      <c r="N31" s="3002" t="s">
        <v>3483</v>
      </c>
      <c r="O31" s="2998">
        <v>16</v>
      </c>
      <c r="R31" s="3132">
        <f t="shared" si="3"/>
        <v>2483.59</v>
      </c>
      <c r="S31" s="3134"/>
    </row>
    <row r="32" spans="2:19" ht="33" customHeight="1" outlineLevel="1">
      <c r="D32" s="3323"/>
      <c r="E32" s="3323"/>
      <c r="F32" s="3004" t="s">
        <v>3504</v>
      </c>
      <c r="G32" s="3002" t="s">
        <v>3157</v>
      </c>
      <c r="H32" s="3002">
        <v>4</v>
      </c>
      <c r="I32" s="3002">
        <f t="shared" si="0"/>
        <v>3643.69</v>
      </c>
      <c r="J32" s="2998">
        <v>2483.59</v>
      </c>
      <c r="M32" s="2999">
        <v>1160.0999999999999</v>
      </c>
      <c r="N32" s="3002" t="s">
        <v>3483</v>
      </c>
      <c r="O32" s="2998">
        <v>16</v>
      </c>
      <c r="R32" s="3132">
        <f t="shared" si="3"/>
        <v>2483.59</v>
      </c>
      <c r="S32" s="3134"/>
    </row>
    <row r="33" spans="4:19" ht="33" customHeight="1" outlineLevel="1">
      <c r="D33" s="3323"/>
      <c r="E33" s="3323"/>
      <c r="F33" s="3004" t="s">
        <v>3507</v>
      </c>
      <c r="G33" s="2998" t="s">
        <v>3443</v>
      </c>
      <c r="H33" s="3002">
        <v>4</v>
      </c>
      <c r="I33" s="3002">
        <f t="shared" si="0"/>
        <v>2731.47</v>
      </c>
      <c r="J33" s="2998">
        <v>1862.04</v>
      </c>
      <c r="M33" s="2999">
        <v>869.43</v>
      </c>
      <c r="N33" s="3002" t="s">
        <v>3483</v>
      </c>
      <c r="O33" s="2998">
        <v>12</v>
      </c>
      <c r="R33" s="3132">
        <f t="shared" si="3"/>
        <v>1862.04</v>
      </c>
      <c r="S33" s="3134"/>
    </row>
    <row r="34" spans="4:19" ht="33" customHeight="1" outlineLevel="1">
      <c r="D34" s="3323"/>
      <c r="E34" s="3323"/>
      <c r="F34" s="3004" t="s">
        <v>3508</v>
      </c>
      <c r="G34" s="3002" t="s">
        <v>3157</v>
      </c>
      <c r="H34" s="3002">
        <v>4</v>
      </c>
      <c r="I34" s="3002">
        <f>SUM(J34:M34)</f>
        <v>2731.47</v>
      </c>
      <c r="J34" s="2998">
        <v>1862.04</v>
      </c>
      <c r="M34" s="2999">
        <v>869.43</v>
      </c>
      <c r="N34" s="3002" t="s">
        <v>3483</v>
      </c>
      <c r="O34" s="2998">
        <v>12</v>
      </c>
      <c r="R34" s="3132">
        <f t="shared" si="3"/>
        <v>1862.04</v>
      </c>
    </row>
    <row r="35" spans="4:19" ht="33" customHeight="1" outlineLevel="1">
      <c r="D35" s="3323"/>
      <c r="E35" s="3323"/>
      <c r="F35" s="3004" t="s">
        <v>3509</v>
      </c>
      <c r="G35" s="2998" t="s">
        <v>3443</v>
      </c>
      <c r="H35" s="3002">
        <v>4</v>
      </c>
      <c r="I35" s="3002">
        <f>SUM(J35:M35)</f>
        <v>2731.47</v>
      </c>
      <c r="J35" s="2998">
        <v>1862.04</v>
      </c>
      <c r="M35" s="2999">
        <v>869.43</v>
      </c>
      <c r="N35" s="3002" t="s">
        <v>3483</v>
      </c>
      <c r="O35" s="2998">
        <v>12</v>
      </c>
      <c r="R35" s="3132">
        <f t="shared" si="3"/>
        <v>1862.04</v>
      </c>
    </row>
    <row r="36" spans="4:19" ht="33" customHeight="1" outlineLevel="1">
      <c r="D36" s="3323"/>
      <c r="E36" s="3323"/>
      <c r="F36" s="3004" t="s">
        <v>3510</v>
      </c>
      <c r="G36" s="3002" t="s">
        <v>3157</v>
      </c>
      <c r="H36" s="3002">
        <v>4</v>
      </c>
      <c r="I36" s="3002">
        <f t="shared" si="0"/>
        <v>2277.16</v>
      </c>
      <c r="J36" s="2998">
        <v>1551.26</v>
      </c>
      <c r="M36" s="2999">
        <v>725.9</v>
      </c>
      <c r="N36" s="3002" t="s">
        <v>3483</v>
      </c>
      <c r="O36" s="2998">
        <v>10</v>
      </c>
      <c r="R36" s="3132">
        <f t="shared" si="3"/>
        <v>1551.26</v>
      </c>
    </row>
    <row r="37" spans="4:19" ht="33" customHeight="1" outlineLevel="1">
      <c r="D37" s="3323"/>
      <c r="E37" s="3323"/>
      <c r="F37" s="3004" t="s">
        <v>3505</v>
      </c>
      <c r="G37" s="2998" t="s">
        <v>3443</v>
      </c>
      <c r="H37" s="3002">
        <v>4</v>
      </c>
      <c r="I37" s="3002">
        <f t="shared" si="0"/>
        <v>2284.1</v>
      </c>
      <c r="J37" s="2998">
        <v>1557.29</v>
      </c>
      <c r="M37" s="2999">
        <v>726.81</v>
      </c>
      <c r="N37" s="3002" t="s">
        <v>3483</v>
      </c>
      <c r="O37" s="2998">
        <v>10</v>
      </c>
      <c r="R37" s="3132">
        <f t="shared" si="3"/>
        <v>1557.29</v>
      </c>
    </row>
    <row r="38" spans="4:19" ht="33" customHeight="1" outlineLevel="1">
      <c r="D38" s="3323"/>
      <c r="E38" s="3323"/>
      <c r="F38" s="3004" t="s">
        <v>3506</v>
      </c>
      <c r="G38" s="3002" t="s">
        <v>3157</v>
      </c>
      <c r="H38" s="3002">
        <v>4</v>
      </c>
      <c r="I38" s="3002">
        <f t="shared" si="0"/>
        <v>2277.16</v>
      </c>
      <c r="J38" s="2998">
        <v>1551.26</v>
      </c>
      <c r="M38" s="2999">
        <v>725.9</v>
      </c>
      <c r="N38" s="3002" t="s">
        <v>3483</v>
      </c>
      <c r="O38" s="2998">
        <v>10</v>
      </c>
      <c r="R38" s="3132">
        <f t="shared" si="3"/>
        <v>1551.26</v>
      </c>
    </row>
    <row r="39" spans="4:19" ht="33" customHeight="1" outlineLevel="1">
      <c r="D39" s="3323"/>
      <c r="E39" s="3323"/>
      <c r="F39" s="3004" t="s">
        <v>3511</v>
      </c>
      <c r="G39" s="2998" t="s">
        <v>3442</v>
      </c>
      <c r="H39" s="3002">
        <v>4</v>
      </c>
      <c r="I39" s="3002">
        <f t="shared" si="0"/>
        <v>2284.1</v>
      </c>
      <c r="J39" s="2998">
        <v>1557.29</v>
      </c>
      <c r="M39" s="2999">
        <v>726.81</v>
      </c>
      <c r="N39" s="3002" t="s">
        <v>3483</v>
      </c>
      <c r="O39" s="2998">
        <v>10</v>
      </c>
      <c r="R39" s="3132">
        <f t="shared" si="3"/>
        <v>1557.29</v>
      </c>
    </row>
    <row r="40" spans="4:19" ht="33" customHeight="1" outlineLevel="1">
      <c r="D40" s="3323"/>
      <c r="E40" s="3323"/>
      <c r="F40" s="3004" t="s">
        <v>3512</v>
      </c>
      <c r="G40" s="3002" t="s">
        <v>3157</v>
      </c>
      <c r="H40" s="3002">
        <v>4</v>
      </c>
      <c r="I40" s="3002">
        <f t="shared" si="0"/>
        <v>2731.47</v>
      </c>
      <c r="J40" s="2998">
        <v>1862.04</v>
      </c>
      <c r="M40" s="2999">
        <v>869.43</v>
      </c>
      <c r="N40" s="3002" t="s">
        <v>3483</v>
      </c>
      <c r="O40" s="2998">
        <v>12</v>
      </c>
      <c r="R40" s="3132">
        <f t="shared" si="3"/>
        <v>1862.04</v>
      </c>
    </row>
    <row r="41" spans="4:19" ht="33" customHeight="1" outlineLevel="1">
      <c r="D41" s="3323"/>
      <c r="E41" s="3323"/>
      <c r="F41" s="3004" t="s">
        <v>3513</v>
      </c>
      <c r="G41" s="2998" t="s">
        <v>3442</v>
      </c>
      <c r="H41" s="3002">
        <v>4</v>
      </c>
      <c r="I41" s="3002">
        <f t="shared" si="0"/>
        <v>2277.16</v>
      </c>
      <c r="J41" s="2998">
        <v>1551.26</v>
      </c>
      <c r="M41" s="2999">
        <v>725.9</v>
      </c>
      <c r="N41" s="3002" t="s">
        <v>3483</v>
      </c>
      <c r="O41" s="2998">
        <v>10</v>
      </c>
      <c r="R41" s="3132">
        <f t="shared" si="3"/>
        <v>1551.26</v>
      </c>
    </row>
    <row r="42" spans="4:19" ht="33" customHeight="1" outlineLevel="1">
      <c r="D42" s="3323"/>
      <c r="E42" s="3323"/>
      <c r="F42" s="3004" t="s">
        <v>3514</v>
      </c>
      <c r="G42" s="3002" t="s">
        <v>3157</v>
      </c>
      <c r="H42" s="3002">
        <v>4</v>
      </c>
      <c r="I42" s="3002">
        <f t="shared" si="0"/>
        <v>2731.47</v>
      </c>
      <c r="J42" s="2998">
        <v>1862.04</v>
      </c>
      <c r="M42" s="2999">
        <v>869.43</v>
      </c>
      <c r="N42" s="3002" t="s">
        <v>3483</v>
      </c>
      <c r="O42" s="2998">
        <v>12</v>
      </c>
      <c r="R42" s="3132">
        <f t="shared" si="3"/>
        <v>1862.04</v>
      </c>
    </row>
    <row r="43" spans="4:19" ht="33" customHeight="1" outlineLevel="1">
      <c r="D43" s="3323"/>
      <c r="E43" s="3323"/>
      <c r="F43" s="3004" t="s">
        <v>3515</v>
      </c>
      <c r="G43" s="2998" t="s">
        <v>3442</v>
      </c>
      <c r="H43" s="3002">
        <v>4</v>
      </c>
      <c r="I43" s="3002">
        <f t="shared" si="0"/>
        <v>2277.16</v>
      </c>
      <c r="J43" s="2998">
        <v>1551.26</v>
      </c>
      <c r="M43" s="2999">
        <v>725.9</v>
      </c>
      <c r="N43" s="3002" t="s">
        <v>3483</v>
      </c>
      <c r="O43" s="2998">
        <v>10</v>
      </c>
      <c r="R43" s="3132">
        <f t="shared" si="3"/>
        <v>1551.26</v>
      </c>
    </row>
    <row r="44" spans="4:19" ht="33" customHeight="1" outlineLevel="1">
      <c r="D44" s="3323"/>
      <c r="E44" s="3323"/>
      <c r="F44" s="3004" t="s">
        <v>3516</v>
      </c>
      <c r="G44" s="3002" t="s">
        <v>3157</v>
      </c>
      <c r="H44" s="2998">
        <v>1</v>
      </c>
      <c r="I44" s="3002">
        <f t="shared" si="0"/>
        <v>277.61</v>
      </c>
      <c r="K44" s="2998">
        <v>60.25</v>
      </c>
      <c r="L44" s="2998">
        <f>53.6+163.76</f>
        <v>217.35999999999999</v>
      </c>
      <c r="N44" s="2998" t="s">
        <v>3521</v>
      </c>
      <c r="R44" s="3132">
        <f t="shared" si="3"/>
        <v>0</v>
      </c>
    </row>
    <row r="45" spans="4:19" ht="33" customHeight="1" outlineLevel="1">
      <c r="D45" s="3323"/>
      <c r="E45" s="3323"/>
      <c r="F45" s="3004" t="s">
        <v>3517</v>
      </c>
      <c r="G45" s="2998" t="s">
        <v>3443</v>
      </c>
      <c r="H45" s="2998">
        <v>3</v>
      </c>
      <c r="I45" s="3002">
        <f t="shared" si="0"/>
        <v>4010.62</v>
      </c>
      <c r="L45" s="2998">
        <v>4010.62</v>
      </c>
      <c r="N45" s="2998" t="s">
        <v>3520</v>
      </c>
      <c r="R45" s="3132">
        <f t="shared" si="3"/>
        <v>0</v>
      </c>
    </row>
    <row r="46" spans="4:19" ht="33" customHeight="1" outlineLevel="1">
      <c r="D46" s="3323"/>
      <c r="E46" s="3323"/>
      <c r="F46" s="2998" t="s">
        <v>3518</v>
      </c>
      <c r="G46" s="3131" t="s">
        <v>3157</v>
      </c>
      <c r="I46" s="3002">
        <f t="shared" si="0"/>
        <v>50041.760000000002</v>
      </c>
      <c r="M46" s="2999">
        <v>50041.760000000002</v>
      </c>
      <c r="N46" s="2998" t="s">
        <v>3478</v>
      </c>
      <c r="R46" s="3132">
        <f t="shared" si="3"/>
        <v>0</v>
      </c>
    </row>
    <row r="47" spans="4:19" ht="33" customHeight="1">
      <c r="D47" s="3323"/>
      <c r="E47" s="3323"/>
      <c r="F47" s="3006" t="s">
        <v>3462</v>
      </c>
      <c r="G47" s="3007"/>
      <c r="H47" s="3007"/>
      <c r="I47" s="3007">
        <f>SUM(I14:I46)</f>
        <v>156598.14000000004</v>
      </c>
      <c r="J47" s="3007">
        <f t="shared" ref="J47:O47" si="4">SUM(J14:J46)</f>
        <v>72223.559999999983</v>
      </c>
      <c r="K47" s="3007">
        <f t="shared" si="4"/>
        <v>60.25</v>
      </c>
      <c r="L47" s="3007">
        <f t="shared" si="4"/>
        <v>4227.9799999999996</v>
      </c>
      <c r="M47" s="3007">
        <f t="shared" si="4"/>
        <v>80086.350000000006</v>
      </c>
      <c r="N47" s="3007"/>
      <c r="O47" s="3007">
        <f t="shared" si="4"/>
        <v>511</v>
      </c>
    </row>
    <row r="48" spans="4:19" ht="33" customHeight="1" outlineLevel="1">
      <c r="D48" s="3321" t="s">
        <v>4080</v>
      </c>
      <c r="E48" s="3321" t="s">
        <v>4081</v>
      </c>
      <c r="F48" s="2998" t="s">
        <v>3471</v>
      </c>
      <c r="H48" s="2998">
        <v>2</v>
      </c>
      <c r="I48" s="3002">
        <f t="shared" si="0"/>
        <v>549.41999999999996</v>
      </c>
      <c r="K48" s="2998">
        <v>549.41999999999996</v>
      </c>
    </row>
    <row r="49" spans="4:11" ht="33" customHeight="1" outlineLevel="1">
      <c r="D49" s="3321"/>
      <c r="E49" s="3321"/>
      <c r="F49" s="2998" t="s">
        <v>4082</v>
      </c>
      <c r="H49" s="2998">
        <v>1</v>
      </c>
      <c r="I49" s="3002">
        <f t="shared" si="0"/>
        <v>280.36</v>
      </c>
      <c r="K49" s="2998">
        <v>280.36</v>
      </c>
    </row>
    <row r="50" spans="4:11" ht="33" customHeight="1" outlineLevel="1">
      <c r="D50" s="3321"/>
      <c r="E50" s="3321"/>
      <c r="F50" s="2998" t="s">
        <v>4083</v>
      </c>
      <c r="H50" s="2998">
        <v>1</v>
      </c>
      <c r="I50" s="3002">
        <f t="shared" si="0"/>
        <v>280.36</v>
      </c>
      <c r="K50" s="2998">
        <v>280.36</v>
      </c>
    </row>
    <row r="51" spans="4:11" ht="33" customHeight="1" outlineLevel="1">
      <c r="D51" s="3321"/>
      <c r="E51" s="3321"/>
      <c r="F51" s="2998" t="s">
        <v>4084</v>
      </c>
      <c r="H51" s="2998">
        <v>1</v>
      </c>
      <c r="I51" s="3002">
        <f t="shared" si="0"/>
        <v>200.68</v>
      </c>
      <c r="K51" s="2998">
        <v>200.68</v>
      </c>
    </row>
    <row r="52" spans="4:11" ht="33" customHeight="1" outlineLevel="1">
      <c r="D52" s="3321"/>
      <c r="E52" s="3321"/>
      <c r="F52" s="2998" t="s">
        <v>4085</v>
      </c>
      <c r="H52" s="2998">
        <v>1</v>
      </c>
      <c r="I52" s="3002">
        <f t="shared" si="0"/>
        <v>200.68</v>
      </c>
      <c r="K52" s="2998">
        <v>200.68</v>
      </c>
    </row>
    <row r="53" spans="4:11" ht="33" customHeight="1" outlineLevel="1">
      <c r="D53" s="3321"/>
      <c r="E53" s="3321"/>
      <c r="F53" s="2998" t="s">
        <v>4086</v>
      </c>
      <c r="H53" s="2998">
        <v>2</v>
      </c>
      <c r="I53" s="3002">
        <f t="shared" si="0"/>
        <v>321.7</v>
      </c>
      <c r="K53" s="2998">
        <v>321.7</v>
      </c>
    </row>
    <row r="54" spans="4:11" ht="33" customHeight="1" outlineLevel="1">
      <c r="D54" s="3321"/>
      <c r="E54" s="3321"/>
      <c r="F54" s="2998" t="s">
        <v>4087</v>
      </c>
      <c r="H54" s="2998">
        <v>2</v>
      </c>
      <c r="I54" s="3002">
        <f t="shared" si="0"/>
        <v>321.7</v>
      </c>
      <c r="K54" s="2998">
        <v>321.7</v>
      </c>
    </row>
    <row r="55" spans="4:11" ht="33" customHeight="1" outlineLevel="1">
      <c r="D55" s="3321"/>
      <c r="E55" s="3321"/>
      <c r="F55" s="2998" t="s">
        <v>4088</v>
      </c>
      <c r="H55" s="2998">
        <v>2</v>
      </c>
      <c r="I55" s="3002">
        <f t="shared" si="0"/>
        <v>265.68</v>
      </c>
      <c r="K55" s="2998">
        <v>265.68</v>
      </c>
    </row>
    <row r="56" spans="4:11" ht="33" customHeight="1" outlineLevel="1">
      <c r="D56" s="3321"/>
      <c r="E56" s="3321"/>
      <c r="F56" s="2998" t="s">
        <v>4089</v>
      </c>
      <c r="H56" s="2998">
        <v>2</v>
      </c>
      <c r="I56" s="3002">
        <f t="shared" si="0"/>
        <v>350.94</v>
      </c>
      <c r="K56" s="2998">
        <v>350.94</v>
      </c>
    </row>
    <row r="57" spans="4:11" ht="33" customHeight="1" outlineLevel="1">
      <c r="D57" s="3321"/>
      <c r="E57" s="3321"/>
      <c r="F57" s="2998" t="s">
        <v>4090</v>
      </c>
      <c r="H57" s="2998">
        <v>2</v>
      </c>
      <c r="I57" s="3002">
        <f t="shared" si="0"/>
        <v>350.94</v>
      </c>
      <c r="K57" s="2998">
        <v>350.94</v>
      </c>
    </row>
    <row r="58" spans="4:11" ht="33" customHeight="1" outlineLevel="1">
      <c r="D58" s="3321"/>
      <c r="E58" s="3321"/>
      <c r="F58" s="2998" t="s">
        <v>4091</v>
      </c>
      <c r="H58" s="2998">
        <v>1</v>
      </c>
      <c r="I58" s="3002">
        <f t="shared" si="0"/>
        <v>265.68</v>
      </c>
      <c r="K58" s="2998">
        <v>265.68</v>
      </c>
    </row>
    <row r="59" spans="4:11" ht="33" customHeight="1" outlineLevel="1">
      <c r="D59" s="3321"/>
      <c r="E59" s="3321"/>
      <c r="F59" s="2998" t="s">
        <v>4092</v>
      </c>
      <c r="H59" s="2998">
        <v>1</v>
      </c>
      <c r="I59" s="3002">
        <f t="shared" si="0"/>
        <v>187.2</v>
      </c>
      <c r="K59" s="2998">
        <v>187.2</v>
      </c>
    </row>
    <row r="60" spans="4:11" ht="33" customHeight="1" outlineLevel="1">
      <c r="D60" s="3321"/>
      <c r="E60" s="3321"/>
      <c r="F60" s="2998" t="s">
        <v>4093</v>
      </c>
      <c r="H60" s="2998">
        <v>1</v>
      </c>
      <c r="I60" s="3002">
        <f t="shared" si="0"/>
        <v>286.49</v>
      </c>
      <c r="K60" s="2998">
        <v>286.49</v>
      </c>
    </row>
    <row r="61" spans="4:11" ht="33" customHeight="1" outlineLevel="1">
      <c r="D61" s="3321"/>
      <c r="E61" s="3321"/>
      <c r="F61" s="2998" t="s">
        <v>4094</v>
      </c>
      <c r="H61" s="2998">
        <v>1</v>
      </c>
      <c r="I61" s="3002">
        <f t="shared" si="0"/>
        <v>142.38999999999999</v>
      </c>
      <c r="K61" s="2998">
        <v>142.38999999999999</v>
      </c>
    </row>
    <row r="62" spans="4:11" ht="33" customHeight="1" outlineLevel="1">
      <c r="D62" s="3321"/>
      <c r="E62" s="3321"/>
      <c r="F62" s="2998" t="s">
        <v>4095</v>
      </c>
      <c r="H62" s="2998">
        <v>1</v>
      </c>
      <c r="I62" s="3002">
        <f t="shared" si="0"/>
        <v>250.32</v>
      </c>
      <c r="K62" s="2998">
        <v>250.32</v>
      </c>
    </row>
    <row r="63" spans="4:11" ht="33" customHeight="1" outlineLevel="1">
      <c r="D63" s="3321"/>
      <c r="E63" s="3321"/>
      <c r="F63" s="2998" t="s">
        <v>4096</v>
      </c>
      <c r="H63" s="2998">
        <v>1</v>
      </c>
      <c r="I63" s="3002">
        <f t="shared" si="0"/>
        <v>250.32</v>
      </c>
      <c r="K63" s="2998">
        <v>250.32</v>
      </c>
    </row>
    <row r="64" spans="4:11" ht="33" customHeight="1" outlineLevel="1">
      <c r="D64" s="3321"/>
      <c r="E64" s="3321"/>
      <c r="F64" s="2998" t="s">
        <v>4097</v>
      </c>
      <c r="H64" s="2998">
        <v>1</v>
      </c>
      <c r="I64" s="3002">
        <f t="shared" si="0"/>
        <v>198.96</v>
      </c>
      <c r="K64" s="2998">
        <v>198.96</v>
      </c>
    </row>
    <row r="65" spans="4:19" ht="33" customHeight="1">
      <c r="D65" s="3321"/>
      <c r="E65" s="3321"/>
      <c r="F65" s="3006" t="s">
        <v>3462</v>
      </c>
      <c r="G65" s="3007"/>
      <c r="H65" s="3007"/>
      <c r="I65" s="3007">
        <f t="shared" ref="I65:O65" si="5">SUM(I48:I64)</f>
        <v>4703.82</v>
      </c>
      <c r="J65" s="3007">
        <f t="shared" si="5"/>
        <v>0</v>
      </c>
      <c r="K65" s="3007">
        <f>SUM(K48:K64)</f>
        <v>4703.82</v>
      </c>
      <c r="L65" s="3007">
        <f t="shared" si="5"/>
        <v>0</v>
      </c>
      <c r="M65" s="3007">
        <f t="shared" si="5"/>
        <v>0</v>
      </c>
      <c r="N65" s="3007"/>
      <c r="O65" s="3007">
        <f t="shared" si="5"/>
        <v>0</v>
      </c>
    </row>
    <row r="66" spans="4:19" ht="33" customHeight="1" outlineLevel="1">
      <c r="D66" s="3321" t="s">
        <v>4192</v>
      </c>
      <c r="E66" s="3321" t="s">
        <v>4193</v>
      </c>
      <c r="F66" s="2998" t="s">
        <v>4180</v>
      </c>
      <c r="G66" s="2998" t="s">
        <v>3442</v>
      </c>
      <c r="H66" s="2998">
        <v>3</v>
      </c>
      <c r="I66" s="3002">
        <f t="shared" si="0"/>
        <v>3340.47</v>
      </c>
      <c r="K66" s="2998">
        <v>3340.47</v>
      </c>
    </row>
    <row r="67" spans="4:19" ht="33" customHeight="1" outlineLevel="1">
      <c r="D67" s="3321"/>
      <c r="E67" s="3321"/>
      <c r="F67" s="2998" t="s">
        <v>3701</v>
      </c>
      <c r="G67" s="2998" t="s">
        <v>3442</v>
      </c>
      <c r="H67" s="2998">
        <v>18</v>
      </c>
      <c r="I67" s="3002">
        <f t="shared" si="0"/>
        <v>16048.199999999999</v>
      </c>
      <c r="J67" s="2998">
        <v>13821.13</v>
      </c>
      <c r="K67" s="2998">
        <v>908.15</v>
      </c>
      <c r="L67" s="2998">
        <v>1318.92</v>
      </c>
      <c r="N67" s="2998" t="s">
        <v>4187</v>
      </c>
      <c r="O67" s="2998">
        <v>128</v>
      </c>
      <c r="P67" s="2998" t="s">
        <v>4266</v>
      </c>
      <c r="S67" s="3132">
        <f>J67</f>
        <v>13821.13</v>
      </c>
    </row>
    <row r="68" spans="4:19" ht="33" customHeight="1" outlineLevel="1">
      <c r="D68" s="3321"/>
      <c r="E68" s="3321"/>
      <c r="F68" s="2998" t="s">
        <v>3702</v>
      </c>
      <c r="G68" s="2998" t="s">
        <v>3442</v>
      </c>
      <c r="H68" s="2998">
        <v>18</v>
      </c>
      <c r="I68" s="3002">
        <f t="shared" si="0"/>
        <v>16585.919999999998</v>
      </c>
      <c r="J68" s="2998">
        <v>13821.13</v>
      </c>
      <c r="K68" s="2998">
        <v>1384.63</v>
      </c>
      <c r="L68" s="2998">
        <v>1380.16</v>
      </c>
      <c r="N68" s="2998" t="s">
        <v>4188</v>
      </c>
      <c r="O68" s="2998">
        <v>128</v>
      </c>
      <c r="P68" s="2998" t="s">
        <v>4269</v>
      </c>
      <c r="S68" s="3132">
        <f t="shared" ref="S68:S73" si="6">J68</f>
        <v>13821.13</v>
      </c>
    </row>
    <row r="69" spans="4:19" ht="33" customHeight="1" outlineLevel="1">
      <c r="D69" s="3321"/>
      <c r="E69" s="3321"/>
      <c r="F69" s="2998" t="s">
        <v>4181</v>
      </c>
      <c r="G69" s="2998" t="s">
        <v>3443</v>
      </c>
      <c r="H69" s="2998">
        <v>18</v>
      </c>
      <c r="I69" s="3002">
        <f t="shared" ref="I69:I98" si="7">SUM(J69:M69)</f>
        <v>8230.7199999999993</v>
      </c>
      <c r="J69" s="2998">
        <v>7840.37</v>
      </c>
      <c r="M69" s="2999">
        <v>390.35</v>
      </c>
      <c r="N69" s="2998" t="s">
        <v>4189</v>
      </c>
      <c r="O69" s="2998">
        <v>68</v>
      </c>
      <c r="P69" s="2998" t="s">
        <v>4267</v>
      </c>
      <c r="S69" s="3132">
        <f t="shared" si="6"/>
        <v>7840.37</v>
      </c>
    </row>
    <row r="70" spans="4:19" ht="33" customHeight="1" outlineLevel="1">
      <c r="D70" s="3321"/>
      <c r="E70" s="3321"/>
      <c r="F70" s="2998" t="s">
        <v>4182</v>
      </c>
      <c r="G70" s="2998" t="s">
        <v>3442</v>
      </c>
      <c r="H70" s="2998">
        <v>18</v>
      </c>
      <c r="I70" s="3002">
        <f t="shared" si="7"/>
        <v>15969.42</v>
      </c>
      <c r="J70" s="2998">
        <v>14482.86</v>
      </c>
      <c r="K70" s="2998">
        <v>711.38</v>
      </c>
      <c r="L70" s="2998">
        <v>775.18</v>
      </c>
      <c r="N70" s="2998" t="s">
        <v>4187</v>
      </c>
      <c r="O70" s="2998">
        <v>136</v>
      </c>
      <c r="P70" s="2998" t="s">
        <v>4269</v>
      </c>
      <c r="S70" s="3132">
        <f t="shared" si="6"/>
        <v>14482.86</v>
      </c>
    </row>
    <row r="71" spans="4:19" ht="33" customHeight="1" outlineLevel="1">
      <c r="D71" s="3321"/>
      <c r="E71" s="3321"/>
      <c r="F71" s="2998" t="s">
        <v>4183</v>
      </c>
      <c r="G71" s="2998" t="s">
        <v>3443</v>
      </c>
      <c r="H71" s="2998">
        <v>18</v>
      </c>
      <c r="I71" s="3002">
        <f t="shared" si="7"/>
        <v>8175.12</v>
      </c>
      <c r="J71" s="2998">
        <v>7824.7</v>
      </c>
      <c r="M71" s="2999">
        <v>350.42</v>
      </c>
      <c r="N71" s="2998" t="s">
        <v>4189</v>
      </c>
      <c r="O71" s="2998">
        <v>68</v>
      </c>
      <c r="P71" s="2998" t="s">
        <v>4266</v>
      </c>
      <c r="S71" s="3132">
        <f t="shared" si="6"/>
        <v>7824.7</v>
      </c>
    </row>
    <row r="72" spans="4:19" ht="33" customHeight="1" outlineLevel="1">
      <c r="D72" s="3321"/>
      <c r="E72" s="3321"/>
      <c r="F72" s="3111" t="s">
        <v>4184</v>
      </c>
      <c r="G72" s="2998" t="s">
        <v>3443</v>
      </c>
      <c r="H72" s="2998">
        <v>18</v>
      </c>
      <c r="I72" s="3002">
        <f t="shared" si="7"/>
        <v>8930.6</v>
      </c>
      <c r="J72" s="2998">
        <v>7839.06</v>
      </c>
      <c r="K72" s="2998">
        <v>840.08</v>
      </c>
      <c r="L72" s="2998">
        <f>122.81+128.65</f>
        <v>251.46</v>
      </c>
      <c r="N72" s="2998" t="s">
        <v>4190</v>
      </c>
      <c r="O72" s="2998">
        <v>68</v>
      </c>
      <c r="P72" s="2998" t="s">
        <v>4269</v>
      </c>
      <c r="S72" s="3132">
        <f t="shared" si="6"/>
        <v>7839.06</v>
      </c>
    </row>
    <row r="73" spans="4:19" ht="33" customHeight="1" outlineLevel="1">
      <c r="D73" s="3321"/>
      <c r="E73" s="3321"/>
      <c r="F73" s="3111" t="s">
        <v>4185</v>
      </c>
      <c r="G73" s="2998" t="s">
        <v>3443</v>
      </c>
      <c r="H73" s="2998">
        <v>18</v>
      </c>
      <c r="I73" s="3002">
        <f t="shared" si="7"/>
        <v>8663.0600000000013</v>
      </c>
      <c r="J73" s="2998">
        <v>7830.06</v>
      </c>
      <c r="K73" s="2998">
        <v>581.54999999999995</v>
      </c>
      <c r="L73" s="2998">
        <f>55.11+129.24+67.1</f>
        <v>251.45000000000002</v>
      </c>
      <c r="N73" s="2998" t="s">
        <v>4191</v>
      </c>
      <c r="O73" s="2998">
        <v>68</v>
      </c>
      <c r="P73" s="2998" t="s">
        <v>4268</v>
      </c>
      <c r="S73" s="3132">
        <f t="shared" si="6"/>
        <v>7830.06</v>
      </c>
    </row>
    <row r="74" spans="4:19" ht="33" customHeight="1" outlineLevel="1">
      <c r="D74" s="3321"/>
      <c r="E74" s="3321"/>
      <c r="F74" s="2998" t="s">
        <v>4186</v>
      </c>
      <c r="G74" s="3131" t="s">
        <v>3157</v>
      </c>
      <c r="H74" s="2998">
        <v>1</v>
      </c>
      <c r="I74" s="3002">
        <f t="shared" si="7"/>
        <v>24352.45</v>
      </c>
      <c r="M74" s="2999">
        <v>24352.45</v>
      </c>
      <c r="N74" s="2998" t="s">
        <v>3478</v>
      </c>
    </row>
    <row r="75" spans="4:19" ht="33" customHeight="1">
      <c r="D75" s="3321"/>
      <c r="E75" s="3321"/>
      <c r="F75" s="3006" t="s">
        <v>3462</v>
      </c>
      <c r="G75" s="3007"/>
      <c r="H75" s="3007"/>
      <c r="I75" s="3007">
        <f>SUM(I66:I74)</f>
        <v>110295.95999999999</v>
      </c>
      <c r="J75" s="3007">
        <f t="shared" ref="J75:O75" si="8">SUM(J66:J74)</f>
        <v>73459.31</v>
      </c>
      <c r="K75" s="3007">
        <f t="shared" si="8"/>
        <v>7766.26</v>
      </c>
      <c r="L75" s="3007">
        <f t="shared" si="8"/>
        <v>3977.1699999999996</v>
      </c>
      <c r="M75" s="3007">
        <f t="shared" si="8"/>
        <v>25093.22</v>
      </c>
      <c r="N75" s="3007"/>
      <c r="O75" s="3007">
        <f t="shared" si="8"/>
        <v>664</v>
      </c>
    </row>
    <row r="76" spans="4:19" ht="33" customHeight="1" outlineLevel="1">
      <c r="D76" s="3321" t="s">
        <v>4258</v>
      </c>
      <c r="E76" s="3321" t="s">
        <v>4259</v>
      </c>
      <c r="F76" s="2998" t="s">
        <v>4260</v>
      </c>
      <c r="H76" s="2998">
        <v>3</v>
      </c>
      <c r="I76" s="3002">
        <f t="shared" si="7"/>
        <v>519.4</v>
      </c>
      <c r="K76" s="2998">
        <v>519.4</v>
      </c>
    </row>
    <row r="77" spans="4:19" ht="33" customHeight="1" outlineLevel="1">
      <c r="D77" s="3321"/>
      <c r="E77" s="3321"/>
      <c r="F77" s="2998" t="s">
        <v>3538</v>
      </c>
      <c r="H77" s="2998">
        <v>3</v>
      </c>
      <c r="I77" s="3002">
        <f t="shared" si="7"/>
        <v>184.71</v>
      </c>
      <c r="K77" s="2998">
        <v>184.71</v>
      </c>
    </row>
    <row r="78" spans="4:19" ht="33" customHeight="1" outlineLevel="1">
      <c r="D78" s="3321"/>
      <c r="E78" s="3321"/>
      <c r="F78" s="2998" t="s">
        <v>3539</v>
      </c>
      <c r="H78" s="2998">
        <v>3</v>
      </c>
      <c r="I78" s="3002">
        <f t="shared" si="7"/>
        <v>492.2</v>
      </c>
      <c r="K78" s="2998">
        <v>492.2</v>
      </c>
    </row>
    <row r="79" spans="4:19" ht="33" customHeight="1" outlineLevel="1">
      <c r="D79" s="3321"/>
      <c r="E79" s="3321"/>
      <c r="F79" s="2998" t="s">
        <v>3540</v>
      </c>
      <c r="H79" s="2998">
        <v>3</v>
      </c>
      <c r="I79" s="3002">
        <f t="shared" si="7"/>
        <v>360.3</v>
      </c>
      <c r="K79" s="2998">
        <v>360.3</v>
      </c>
    </row>
    <row r="80" spans="4:19" ht="33" customHeight="1" outlineLevel="1">
      <c r="D80" s="3321"/>
      <c r="E80" s="3321"/>
      <c r="F80" s="2998" t="s">
        <v>3541</v>
      </c>
      <c r="H80" s="2998">
        <v>3</v>
      </c>
      <c r="I80" s="3002">
        <f t="shared" si="7"/>
        <v>957.28</v>
      </c>
      <c r="K80" s="2998">
        <v>957.28</v>
      </c>
    </row>
    <row r="81" spans="4:15" ht="33" customHeight="1" outlineLevel="1">
      <c r="D81" s="3321"/>
      <c r="E81" s="3321"/>
      <c r="F81" s="2998" t="s">
        <v>3542</v>
      </c>
      <c r="H81" s="2998">
        <v>3</v>
      </c>
      <c r="I81" s="3002">
        <f t="shared" si="7"/>
        <v>734.16</v>
      </c>
      <c r="K81" s="2998">
        <v>734.16</v>
      </c>
    </row>
    <row r="82" spans="4:15" ht="33" customHeight="1" outlineLevel="1">
      <c r="D82" s="3321"/>
      <c r="E82" s="3321"/>
      <c r="F82" s="2998" t="s">
        <v>3543</v>
      </c>
      <c r="H82" s="2998">
        <v>2</v>
      </c>
      <c r="I82" s="3002">
        <f t="shared" si="7"/>
        <v>1535.06</v>
      </c>
      <c r="K82" s="2998">
        <v>1535.06</v>
      </c>
    </row>
    <row r="83" spans="4:15" ht="33" customHeight="1" outlineLevel="1">
      <c r="D83" s="3321"/>
      <c r="E83" s="3321"/>
      <c r="F83" s="2998" t="s">
        <v>4261</v>
      </c>
      <c r="H83" s="2998">
        <v>2</v>
      </c>
      <c r="I83" s="3002">
        <f t="shared" si="7"/>
        <v>752.87</v>
      </c>
      <c r="K83" s="2998">
        <v>752.87</v>
      </c>
    </row>
    <row r="84" spans="4:15" ht="33" customHeight="1" outlineLevel="1">
      <c r="D84" s="3321"/>
      <c r="E84" s="3321"/>
      <c r="F84" s="2998" t="s">
        <v>3478</v>
      </c>
      <c r="H84" s="2998">
        <v>1</v>
      </c>
      <c r="I84" s="3002">
        <f t="shared" si="7"/>
        <v>5493.42</v>
      </c>
      <c r="M84" s="2999">
        <v>5493.42</v>
      </c>
      <c r="N84" s="2998" t="s">
        <v>3478</v>
      </c>
    </row>
    <row r="85" spans="4:15" ht="33" customHeight="1">
      <c r="D85" s="3321"/>
      <c r="E85" s="3321"/>
      <c r="F85" s="3006" t="s">
        <v>3462</v>
      </c>
      <c r="G85" s="3007"/>
      <c r="H85" s="3007"/>
      <c r="I85" s="3007">
        <f>SUM(I76:I84)</f>
        <v>11029.4</v>
      </c>
      <c r="J85" s="3007">
        <f t="shared" ref="J85:O85" si="9">SUM(J76:J84)</f>
        <v>0</v>
      </c>
      <c r="K85" s="3007">
        <f t="shared" si="9"/>
        <v>5535.98</v>
      </c>
      <c r="L85" s="3007">
        <f t="shared" si="9"/>
        <v>0</v>
      </c>
      <c r="M85" s="3007">
        <f>SUM(M76:M84)</f>
        <v>5493.42</v>
      </c>
      <c r="N85" s="3007"/>
      <c r="O85" s="3007">
        <f t="shared" si="9"/>
        <v>0</v>
      </c>
    </row>
    <row r="86" spans="4:15" ht="33" customHeight="1" outlineLevel="1">
      <c r="D86" s="3321" t="s">
        <v>4262</v>
      </c>
      <c r="E86" s="3321" t="s">
        <v>4263</v>
      </c>
      <c r="F86" s="2998" t="s">
        <v>3471</v>
      </c>
      <c r="H86" s="2998">
        <v>1</v>
      </c>
      <c r="I86" s="3002">
        <f t="shared" si="7"/>
        <v>1030.7</v>
      </c>
      <c r="K86" s="2998">
        <v>1030.7</v>
      </c>
    </row>
    <row r="87" spans="4:15" ht="33" customHeight="1" outlineLevel="1">
      <c r="D87" s="3321"/>
      <c r="E87" s="3321"/>
      <c r="F87" s="2998" t="s">
        <v>4082</v>
      </c>
      <c r="H87" s="2998">
        <v>2</v>
      </c>
      <c r="I87" s="3002">
        <f t="shared" si="7"/>
        <v>2150.8000000000002</v>
      </c>
      <c r="K87" s="2998">
        <v>2150.8000000000002</v>
      </c>
    </row>
    <row r="88" spans="4:15" ht="33" customHeight="1" outlineLevel="1">
      <c r="D88" s="3321"/>
      <c r="E88" s="3321"/>
      <c r="F88" s="2998" t="s">
        <v>4083</v>
      </c>
      <c r="H88" s="2998">
        <v>1</v>
      </c>
      <c r="I88" s="3002">
        <f t="shared" si="7"/>
        <v>420.6</v>
      </c>
      <c r="K88" s="2998">
        <v>420.6</v>
      </c>
    </row>
    <row r="89" spans="4:15" ht="33" customHeight="1" outlineLevel="1">
      <c r="D89" s="3321"/>
      <c r="E89" s="3321"/>
      <c r="F89" s="2998" t="s">
        <v>4084</v>
      </c>
      <c r="H89" s="2998">
        <v>1</v>
      </c>
      <c r="I89" s="3002">
        <f t="shared" si="7"/>
        <v>3506.25</v>
      </c>
      <c r="K89" s="2998">
        <v>3506.25</v>
      </c>
    </row>
    <row r="90" spans="4:15" ht="33" customHeight="1" outlineLevel="1">
      <c r="D90" s="3321"/>
      <c r="E90" s="3321"/>
      <c r="F90" s="2998" t="s">
        <v>4085</v>
      </c>
      <c r="H90" s="2998">
        <v>2</v>
      </c>
      <c r="I90" s="3002">
        <f t="shared" si="7"/>
        <v>118.39</v>
      </c>
      <c r="K90" s="2998">
        <v>118.39</v>
      </c>
    </row>
    <row r="91" spans="4:15" ht="33" customHeight="1" outlineLevel="1">
      <c r="D91" s="3321"/>
      <c r="E91" s="3321"/>
      <c r="F91" s="2998" t="s">
        <v>4086</v>
      </c>
      <c r="H91" s="2998">
        <v>2</v>
      </c>
      <c r="I91" s="3002">
        <f t="shared" si="7"/>
        <v>118.39</v>
      </c>
      <c r="K91" s="2998">
        <v>118.39</v>
      </c>
    </row>
    <row r="92" spans="4:15" ht="33" customHeight="1" outlineLevel="1">
      <c r="D92" s="3321"/>
      <c r="E92" s="3321"/>
      <c r="F92" s="2998" t="s">
        <v>4087</v>
      </c>
      <c r="H92" s="2998">
        <v>2</v>
      </c>
      <c r="I92" s="3002">
        <f t="shared" si="7"/>
        <v>118.39</v>
      </c>
      <c r="K92" s="2998">
        <v>118.39</v>
      </c>
    </row>
    <row r="93" spans="4:15" ht="33" customHeight="1" outlineLevel="1">
      <c r="D93" s="3321"/>
      <c r="E93" s="3321"/>
      <c r="F93" s="2998" t="s">
        <v>4088</v>
      </c>
      <c r="H93" s="2998">
        <v>1</v>
      </c>
      <c r="I93" s="3002">
        <f t="shared" si="7"/>
        <v>185.76</v>
      </c>
      <c r="K93" s="2998">
        <v>185.76</v>
      </c>
    </row>
    <row r="94" spans="4:15" ht="33" customHeight="1" outlineLevel="1">
      <c r="D94" s="3321"/>
      <c r="E94" s="3321"/>
      <c r="F94" s="2998" t="s">
        <v>4089</v>
      </c>
      <c r="H94" s="2998">
        <v>1</v>
      </c>
      <c r="I94" s="3002">
        <f t="shared" si="7"/>
        <v>185.76</v>
      </c>
      <c r="K94" s="2998">
        <v>185.76</v>
      </c>
    </row>
    <row r="95" spans="4:15" ht="33" customHeight="1" outlineLevel="1">
      <c r="D95" s="3321"/>
      <c r="E95" s="3321"/>
      <c r="F95" s="2998" t="s">
        <v>4090</v>
      </c>
      <c r="H95" s="2998">
        <v>1</v>
      </c>
      <c r="I95" s="3002">
        <f t="shared" si="7"/>
        <v>401.97</v>
      </c>
      <c r="K95" s="2998">
        <v>401.97</v>
      </c>
    </row>
    <row r="96" spans="4:15" ht="33" customHeight="1" outlineLevel="1">
      <c r="D96" s="3321"/>
      <c r="E96" s="3321"/>
      <c r="F96" s="2998" t="s">
        <v>4091</v>
      </c>
      <c r="H96" s="2998">
        <v>1</v>
      </c>
      <c r="I96" s="3002">
        <f t="shared" si="7"/>
        <v>401.97</v>
      </c>
      <c r="K96" s="2998">
        <v>401.97</v>
      </c>
    </row>
    <row r="97" spans="4:15" ht="33" customHeight="1" outlineLevel="1">
      <c r="D97" s="3321"/>
      <c r="E97" s="3321"/>
      <c r="F97" s="2998" t="s">
        <v>4092</v>
      </c>
      <c r="H97" s="2998">
        <v>1</v>
      </c>
      <c r="I97" s="3002">
        <f t="shared" si="7"/>
        <v>461.97</v>
      </c>
      <c r="K97" s="2998">
        <v>461.97</v>
      </c>
    </row>
    <row r="98" spans="4:15" ht="33" customHeight="1" outlineLevel="1">
      <c r="D98" s="3321"/>
      <c r="E98" s="3321"/>
      <c r="F98" s="2998" t="s">
        <v>4093</v>
      </c>
      <c r="H98" s="2998">
        <v>2</v>
      </c>
      <c r="I98" s="3002">
        <f t="shared" si="7"/>
        <v>461.97</v>
      </c>
      <c r="K98" s="2998">
        <v>461.97</v>
      </c>
    </row>
    <row r="99" spans="4:15" ht="33" customHeight="1">
      <c r="D99" s="3321"/>
      <c r="E99" s="3321"/>
      <c r="F99" s="3006" t="s">
        <v>3462</v>
      </c>
      <c r="G99" s="3007"/>
      <c r="H99" s="3007"/>
      <c r="I99" s="3007">
        <f>SUM(I86:I98)</f>
        <v>9562.92</v>
      </c>
      <c r="J99" s="3007">
        <f t="shared" ref="J99:O99" si="10">SUM(J86:J98)</f>
        <v>0</v>
      </c>
      <c r="K99" s="3007">
        <f t="shared" si="10"/>
        <v>9562.92</v>
      </c>
      <c r="L99" s="3007">
        <f t="shared" si="10"/>
        <v>0</v>
      </c>
      <c r="M99" s="3007">
        <f t="shared" si="10"/>
        <v>0</v>
      </c>
      <c r="N99" s="3007"/>
      <c r="O99" s="3007">
        <f t="shared" si="10"/>
        <v>0</v>
      </c>
    </row>
    <row r="100" spans="4:15" ht="33" customHeight="1" outlineLevel="1">
      <c r="D100" s="3321" t="s">
        <v>4264</v>
      </c>
      <c r="E100" s="3321" t="s">
        <v>4265</v>
      </c>
      <c r="F100" s="2998" t="s">
        <v>3471</v>
      </c>
      <c r="H100" s="2998">
        <v>2</v>
      </c>
      <c r="I100" s="3002">
        <f t="shared" ref="I100:I111" si="11">SUM(J100:M100)</f>
        <v>747.54</v>
      </c>
      <c r="K100" s="2998">
        <v>747.54</v>
      </c>
    </row>
    <row r="101" spans="4:15" ht="33" customHeight="1" outlineLevel="1">
      <c r="D101" s="3321"/>
      <c r="E101" s="3321"/>
      <c r="F101" s="2998" t="s">
        <v>4082</v>
      </c>
      <c r="H101" s="2998">
        <v>2</v>
      </c>
      <c r="I101" s="3002">
        <f t="shared" si="11"/>
        <v>1730.02</v>
      </c>
      <c r="K101" s="2998">
        <v>1730.02</v>
      </c>
    </row>
    <row r="102" spans="4:15" ht="33" customHeight="1" outlineLevel="1">
      <c r="D102" s="3321"/>
      <c r="E102" s="3321"/>
      <c r="F102" s="2998" t="s">
        <v>4083</v>
      </c>
      <c r="H102" s="2998">
        <v>2</v>
      </c>
      <c r="I102" s="3002">
        <f t="shared" si="11"/>
        <v>1725.23</v>
      </c>
      <c r="K102" s="2998">
        <v>1725.23</v>
      </c>
    </row>
    <row r="103" spans="4:15" ht="33" customHeight="1" outlineLevel="1">
      <c r="D103" s="3321"/>
      <c r="E103" s="3321"/>
      <c r="F103" s="2998" t="s">
        <v>4084</v>
      </c>
      <c r="H103" s="2998">
        <v>2</v>
      </c>
      <c r="I103" s="3002">
        <f t="shared" si="11"/>
        <v>926.96</v>
      </c>
      <c r="K103" s="2998">
        <v>926.96</v>
      </c>
    </row>
    <row r="104" spans="4:15" ht="33" customHeight="1" outlineLevel="1">
      <c r="D104" s="3321"/>
      <c r="E104" s="3321"/>
      <c r="F104" s="2998" t="s">
        <v>4085</v>
      </c>
      <c r="H104" s="2998">
        <v>2</v>
      </c>
      <c r="I104" s="3002">
        <f t="shared" si="11"/>
        <v>1569.64</v>
      </c>
      <c r="K104" s="2998">
        <v>1569.64</v>
      </c>
    </row>
    <row r="105" spans="4:15" ht="33" customHeight="1" outlineLevel="1">
      <c r="D105" s="3321"/>
      <c r="E105" s="3321"/>
      <c r="F105" s="2998" t="s">
        <v>4086</v>
      </c>
      <c r="H105" s="2998">
        <v>2</v>
      </c>
      <c r="I105" s="3002">
        <f t="shared" si="11"/>
        <v>2879.57</v>
      </c>
      <c r="K105" s="2998">
        <v>2879.57</v>
      </c>
    </row>
    <row r="106" spans="4:15" ht="33" customHeight="1" outlineLevel="1">
      <c r="D106" s="3321"/>
      <c r="E106" s="3321"/>
      <c r="F106" s="2998" t="s">
        <v>4087</v>
      </c>
      <c r="H106" s="2998">
        <v>2</v>
      </c>
      <c r="I106" s="3002">
        <f t="shared" si="11"/>
        <v>5007.97</v>
      </c>
      <c r="K106" s="2998">
        <v>5007.97</v>
      </c>
    </row>
    <row r="107" spans="4:15" ht="33" customHeight="1" outlineLevel="1">
      <c r="D107" s="3321"/>
      <c r="E107" s="3321"/>
      <c r="F107" s="2998" t="s">
        <v>4088</v>
      </c>
      <c r="H107" s="2998">
        <v>2</v>
      </c>
      <c r="I107" s="3002">
        <f t="shared" si="11"/>
        <v>4270.2299999999996</v>
      </c>
      <c r="K107" s="2998">
        <v>4270.2299999999996</v>
      </c>
    </row>
    <row r="108" spans="4:15" ht="33" customHeight="1" outlineLevel="1">
      <c r="D108" s="3321"/>
      <c r="E108" s="3321"/>
      <c r="F108" s="2998" t="s">
        <v>4089</v>
      </c>
      <c r="H108" s="2998">
        <v>1</v>
      </c>
      <c r="I108" s="3002">
        <f t="shared" si="11"/>
        <v>938.48</v>
      </c>
      <c r="K108" s="2998">
        <v>938.48</v>
      </c>
    </row>
    <row r="109" spans="4:15" ht="33" customHeight="1" outlineLevel="1">
      <c r="D109" s="3321"/>
      <c r="E109" s="3321"/>
      <c r="F109" s="2998" t="s">
        <v>4090</v>
      </c>
      <c r="H109" s="2998">
        <v>1</v>
      </c>
      <c r="I109" s="3002">
        <f t="shared" si="11"/>
        <v>593.6</v>
      </c>
      <c r="K109" s="2998">
        <v>593.6</v>
      </c>
    </row>
    <row r="110" spans="4:15" ht="33" customHeight="1" outlineLevel="1">
      <c r="D110" s="3321"/>
      <c r="E110" s="3321"/>
      <c r="F110" s="2998" t="s">
        <v>4091</v>
      </c>
      <c r="H110" s="2998">
        <v>1</v>
      </c>
      <c r="I110" s="3002">
        <f t="shared" si="11"/>
        <v>937.42</v>
      </c>
      <c r="K110" s="2998">
        <v>937.42</v>
      </c>
    </row>
    <row r="111" spans="4:15" ht="33" customHeight="1" outlineLevel="1">
      <c r="D111" s="3321"/>
      <c r="E111" s="3321"/>
      <c r="F111" s="2998" t="s">
        <v>4092</v>
      </c>
      <c r="H111" s="2998">
        <v>1</v>
      </c>
      <c r="I111" s="3002">
        <f t="shared" si="11"/>
        <v>864.28</v>
      </c>
      <c r="K111" s="2998">
        <v>864.28</v>
      </c>
    </row>
    <row r="112" spans="4:15" ht="33" customHeight="1">
      <c r="D112" s="3321"/>
      <c r="E112" s="3321"/>
      <c r="F112" s="3006" t="s">
        <v>3462</v>
      </c>
      <c r="G112" s="3007"/>
      <c r="H112" s="3007"/>
      <c r="I112" s="3007">
        <f>SUM(I100:I111)</f>
        <v>22190.939999999995</v>
      </c>
      <c r="J112" s="3007">
        <f>SUM(J100:J111)</f>
        <v>0</v>
      </c>
      <c r="K112" s="3007">
        <f>SUM(K100:K111)</f>
        <v>22190.939999999995</v>
      </c>
      <c r="L112" s="3007">
        <f>SUM(L100:L111)</f>
        <v>0</v>
      </c>
      <c r="M112" s="3007">
        <f>SUM(M100:M111)</f>
        <v>0</v>
      </c>
      <c r="N112" s="3007"/>
      <c r="O112" s="3007">
        <f>SUM(O100:O111)</f>
        <v>0</v>
      </c>
    </row>
  </sheetData>
  <mergeCells count="16">
    <mergeCell ref="E66:E75"/>
    <mergeCell ref="D66:D75"/>
    <mergeCell ref="E100:E112"/>
    <mergeCell ref="D100:D112"/>
    <mergeCell ref="E86:E99"/>
    <mergeCell ref="D86:D99"/>
    <mergeCell ref="E76:E85"/>
    <mergeCell ref="D76:D85"/>
    <mergeCell ref="D48:D65"/>
    <mergeCell ref="E48:E65"/>
    <mergeCell ref="D4:D10"/>
    <mergeCell ref="E4:E10"/>
    <mergeCell ref="D11:D13"/>
    <mergeCell ref="E11:E13"/>
    <mergeCell ref="D14:D47"/>
    <mergeCell ref="E14:E47"/>
  </mergeCells>
  <phoneticPr fontId="142" type="noConversion"/>
  <pageMargins left="0.7" right="0.7" top="0.75" bottom="0.75" header="0.3" footer="0.3"/>
  <pageSetup paperSize="9" orientation="landscape"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41"/>
  <sheetViews>
    <sheetView workbookViewId="0">
      <selection activeCell="D2" sqref="D2:F6"/>
    </sheetView>
  </sheetViews>
  <sheetFormatPr baseColWidth="10" defaultColWidth="8.83203125" defaultRowHeight="14"/>
  <cols>
    <col min="1" max="1" width="6.33203125" style="3122" bestFit="1" customWidth="1"/>
    <col min="2" max="2" width="11.33203125" style="3122" bestFit="1" customWidth="1"/>
    <col min="3" max="3" width="15.83203125" style="3122" bestFit="1" customWidth="1"/>
    <col min="4" max="4" width="11.33203125" style="3122" customWidth="1"/>
    <col min="5" max="5" width="21.33203125" style="3122" bestFit="1" customWidth="1"/>
    <col min="6" max="6" width="16.83203125" style="3122" bestFit="1" customWidth="1"/>
    <col min="7" max="7" width="8.83203125" style="3122"/>
    <col min="8" max="16384" width="8.83203125" style="1737"/>
  </cols>
  <sheetData>
    <row r="1" spans="1:7">
      <c r="A1" s="3112" t="s">
        <v>4196</v>
      </c>
      <c r="B1" s="3112" t="s">
        <v>4204</v>
      </c>
      <c r="C1" s="3112" t="s">
        <v>4205</v>
      </c>
      <c r="D1" s="3112" t="s">
        <v>4206</v>
      </c>
      <c r="E1" s="3112" t="s">
        <v>4207</v>
      </c>
      <c r="F1" s="3112" t="s">
        <v>4208</v>
      </c>
      <c r="G1" s="3112" t="s">
        <v>4209</v>
      </c>
    </row>
    <row r="2" spans="1:7">
      <c r="A2" s="3112">
        <v>9</v>
      </c>
      <c r="B2" s="3112" t="s">
        <v>3471</v>
      </c>
      <c r="C2" s="3331" t="s">
        <v>4210</v>
      </c>
      <c r="D2" s="3332">
        <v>43801</v>
      </c>
      <c r="E2" s="3331">
        <v>11107.8</v>
      </c>
      <c r="F2" s="3333">
        <v>0</v>
      </c>
      <c r="G2" s="3112">
        <v>28</v>
      </c>
    </row>
    <row r="3" spans="1:7">
      <c r="A3" s="3112">
        <v>9</v>
      </c>
      <c r="B3" s="3112" t="s">
        <v>4082</v>
      </c>
      <c r="C3" s="3331"/>
      <c r="D3" s="3331"/>
      <c r="E3" s="3331"/>
      <c r="F3" s="3335"/>
      <c r="G3" s="3112">
        <v>28</v>
      </c>
    </row>
    <row r="4" spans="1:7">
      <c r="A4" s="3112">
        <v>9</v>
      </c>
      <c r="B4" s="3112" t="s">
        <v>4083</v>
      </c>
      <c r="C4" s="3331"/>
      <c r="D4" s="3331"/>
      <c r="E4" s="3331"/>
      <c r="F4" s="3334"/>
      <c r="G4" s="3112">
        <v>28</v>
      </c>
    </row>
    <row r="5" spans="1:7">
      <c r="A5" s="3113">
        <v>9</v>
      </c>
      <c r="B5" s="3113" t="s">
        <v>4211</v>
      </c>
      <c r="C5" s="3329" t="s">
        <v>4212</v>
      </c>
      <c r="D5" s="3330">
        <v>43829</v>
      </c>
      <c r="E5" s="3329">
        <v>7405.2</v>
      </c>
      <c r="F5" s="3336">
        <v>0</v>
      </c>
      <c r="G5" s="3113">
        <v>28</v>
      </c>
    </row>
    <row r="6" spans="1:7">
      <c r="A6" s="3113">
        <v>9</v>
      </c>
      <c r="B6" s="3113" t="s">
        <v>4085</v>
      </c>
      <c r="C6" s="3329"/>
      <c r="D6" s="3330"/>
      <c r="E6" s="3329"/>
      <c r="F6" s="3337"/>
      <c r="G6" s="3113">
        <v>28</v>
      </c>
    </row>
    <row r="7" spans="1:7">
      <c r="A7" s="3112">
        <v>9</v>
      </c>
      <c r="B7" s="3112" t="s">
        <v>4086</v>
      </c>
      <c r="C7" s="3331" t="s">
        <v>4213</v>
      </c>
      <c r="D7" s="3332">
        <v>43735</v>
      </c>
      <c r="E7" s="3331">
        <v>7011</v>
      </c>
      <c r="F7" s="3333">
        <v>0</v>
      </c>
      <c r="G7" s="3112">
        <v>28</v>
      </c>
    </row>
    <row r="8" spans="1:7">
      <c r="A8" s="3112">
        <v>9</v>
      </c>
      <c r="B8" s="3112" t="s">
        <v>4087</v>
      </c>
      <c r="C8" s="3331"/>
      <c r="D8" s="3331"/>
      <c r="E8" s="3331"/>
      <c r="F8" s="3334"/>
      <c r="G8" s="3112">
        <v>25</v>
      </c>
    </row>
    <row r="9" spans="1:7">
      <c r="A9" s="3112">
        <v>9</v>
      </c>
      <c r="B9" s="3112" t="s">
        <v>4088</v>
      </c>
      <c r="C9" s="3114"/>
      <c r="D9" s="3114"/>
      <c r="E9" s="3114"/>
      <c r="F9" s="3114"/>
      <c r="G9" s="3112">
        <v>12</v>
      </c>
    </row>
    <row r="10" spans="1:7">
      <c r="A10" s="3112">
        <v>9</v>
      </c>
      <c r="B10" s="3112" t="s">
        <v>4089</v>
      </c>
      <c r="C10" s="3331" t="s">
        <v>4214</v>
      </c>
      <c r="D10" s="3332">
        <v>372486</v>
      </c>
      <c r="E10" s="3331">
        <v>13659.36</v>
      </c>
      <c r="F10" s="3333">
        <v>0</v>
      </c>
      <c r="G10" s="3112">
        <v>16</v>
      </c>
    </row>
    <row r="11" spans="1:7">
      <c r="A11" s="3112">
        <v>9</v>
      </c>
      <c r="B11" s="3112" t="s">
        <v>4090</v>
      </c>
      <c r="C11" s="3331"/>
      <c r="D11" s="3331"/>
      <c r="E11" s="3331"/>
      <c r="F11" s="3335"/>
      <c r="G11" s="3112">
        <v>16</v>
      </c>
    </row>
    <row r="12" spans="1:7">
      <c r="A12" s="3112">
        <v>9</v>
      </c>
      <c r="B12" s="3112" t="s">
        <v>4091</v>
      </c>
      <c r="C12" s="3331"/>
      <c r="D12" s="3331"/>
      <c r="E12" s="3331"/>
      <c r="F12" s="3335"/>
      <c r="G12" s="3112">
        <v>12</v>
      </c>
    </row>
    <row r="13" spans="1:7">
      <c r="A13" s="3112">
        <v>9</v>
      </c>
      <c r="B13" s="3112" t="s">
        <v>4092</v>
      </c>
      <c r="C13" s="3331"/>
      <c r="D13" s="3331"/>
      <c r="E13" s="3331"/>
      <c r="F13" s="3335"/>
      <c r="G13" s="3112">
        <v>16</v>
      </c>
    </row>
    <row r="14" spans="1:7">
      <c r="A14" s="3112">
        <v>9</v>
      </c>
      <c r="B14" s="3112" t="s">
        <v>4093</v>
      </c>
      <c r="C14" s="3331"/>
      <c r="D14" s="3331"/>
      <c r="E14" s="3331"/>
      <c r="F14" s="3335"/>
      <c r="G14" s="3112">
        <v>16</v>
      </c>
    </row>
    <row r="15" spans="1:7">
      <c r="A15" s="3112">
        <v>9</v>
      </c>
      <c r="B15" s="3112" t="s">
        <v>4215</v>
      </c>
      <c r="C15" s="3331"/>
      <c r="D15" s="3331"/>
      <c r="E15" s="3331"/>
      <c r="F15" s="3334"/>
      <c r="G15" s="3112">
        <v>12</v>
      </c>
    </row>
    <row r="16" spans="1:7">
      <c r="A16" s="3112">
        <v>9</v>
      </c>
      <c r="B16" s="3112" t="s">
        <v>4095</v>
      </c>
      <c r="C16" s="3114"/>
      <c r="D16" s="3114"/>
      <c r="E16" s="3114"/>
      <c r="F16" s="3114"/>
      <c r="G16" s="3112">
        <v>18</v>
      </c>
    </row>
    <row r="17" spans="1:7">
      <c r="A17" s="3112">
        <v>9</v>
      </c>
      <c r="B17" s="3112" t="s">
        <v>4096</v>
      </c>
      <c r="C17" s="3114"/>
      <c r="D17" s="3114"/>
      <c r="E17" s="3114"/>
      <c r="F17" s="3114"/>
      <c r="G17" s="3112">
        <v>0</v>
      </c>
    </row>
    <row r="18" spans="1:7">
      <c r="A18" s="3112">
        <v>9</v>
      </c>
      <c r="B18" s="3112" t="s">
        <v>4097</v>
      </c>
      <c r="C18" s="3114"/>
      <c r="D18" s="3114"/>
      <c r="E18" s="3114"/>
      <c r="F18" s="3114"/>
      <c r="G18" s="3112">
        <v>15</v>
      </c>
    </row>
    <row r="19" spans="1:7">
      <c r="A19" s="3112">
        <v>9</v>
      </c>
      <c r="B19" s="3112" t="s">
        <v>4216</v>
      </c>
      <c r="C19" s="3114"/>
      <c r="D19" s="3114"/>
      <c r="E19" s="3114"/>
      <c r="F19" s="3114"/>
      <c r="G19" s="3112">
        <v>24</v>
      </c>
    </row>
    <row r="20" spans="1:7">
      <c r="A20" s="3112">
        <v>9</v>
      </c>
      <c r="B20" s="3112" t="s">
        <v>4217</v>
      </c>
      <c r="C20" s="3114"/>
      <c r="D20" s="3114"/>
      <c r="E20" s="3114"/>
      <c r="F20" s="3114"/>
      <c r="G20" s="3112">
        <v>12</v>
      </c>
    </row>
    <row r="21" spans="1:7">
      <c r="A21" s="3112">
        <v>9</v>
      </c>
      <c r="B21" s="3112" t="s">
        <v>4218</v>
      </c>
      <c r="C21" s="3114"/>
      <c r="D21" s="3114"/>
      <c r="E21" s="3114"/>
      <c r="F21" s="3114"/>
      <c r="G21" s="3112">
        <v>12</v>
      </c>
    </row>
    <row r="22" spans="1:7">
      <c r="A22" s="3115">
        <v>9</v>
      </c>
      <c r="B22" s="3115" t="s">
        <v>4219</v>
      </c>
      <c r="C22" s="3116" t="s">
        <v>4220</v>
      </c>
      <c r="D22" s="3117">
        <v>43776</v>
      </c>
      <c r="E22" s="3116">
        <v>1551.45</v>
      </c>
      <c r="F22" s="3116">
        <v>0</v>
      </c>
      <c r="G22" s="3115">
        <v>10</v>
      </c>
    </row>
    <row r="23" spans="1:7">
      <c r="A23" s="3112">
        <v>9</v>
      </c>
      <c r="B23" s="3112" t="s">
        <v>4221</v>
      </c>
      <c r="C23" s="3112"/>
      <c r="D23" s="3112"/>
      <c r="E23" s="3114"/>
      <c r="F23" s="3114"/>
      <c r="G23" s="3112">
        <v>10</v>
      </c>
    </row>
    <row r="24" spans="1:7">
      <c r="A24" s="3112">
        <v>9</v>
      </c>
      <c r="B24" s="3112" t="s">
        <v>4222</v>
      </c>
      <c r="C24" s="3112"/>
      <c r="D24" s="3112"/>
      <c r="E24" s="3114"/>
      <c r="F24" s="3114"/>
      <c r="G24" s="3112">
        <v>10</v>
      </c>
    </row>
    <row r="25" spans="1:7">
      <c r="A25" s="3112">
        <v>9</v>
      </c>
      <c r="B25" s="3112" t="s">
        <v>4223</v>
      </c>
      <c r="C25" s="3112"/>
      <c r="D25" s="3112"/>
      <c r="E25" s="3114"/>
      <c r="F25" s="3114"/>
      <c r="G25" s="3112">
        <v>10</v>
      </c>
    </row>
    <row r="26" spans="1:7">
      <c r="A26" s="3112">
        <v>9</v>
      </c>
      <c r="B26" s="3112" t="s">
        <v>4224</v>
      </c>
      <c r="C26" s="3112"/>
      <c r="D26" s="3112"/>
      <c r="E26" s="3114"/>
      <c r="F26" s="3114"/>
      <c r="G26" s="3112">
        <v>24</v>
      </c>
    </row>
    <row r="27" spans="1:7">
      <c r="A27" s="3112">
        <v>9</v>
      </c>
      <c r="B27" s="3112" t="s">
        <v>4225</v>
      </c>
      <c r="C27" s="3112"/>
      <c r="D27" s="3112"/>
      <c r="E27" s="3114"/>
      <c r="F27" s="3114"/>
      <c r="G27" s="3112">
        <v>7</v>
      </c>
    </row>
    <row r="28" spans="1:7">
      <c r="A28" s="3115">
        <v>9</v>
      </c>
      <c r="B28" s="3115" t="s">
        <v>4226</v>
      </c>
      <c r="C28" s="3324" t="s">
        <v>4220</v>
      </c>
      <c r="D28" s="3325">
        <v>43776</v>
      </c>
      <c r="E28" s="3324">
        <v>10007.74</v>
      </c>
      <c r="F28" s="3326">
        <v>0</v>
      </c>
      <c r="G28" s="3115">
        <v>24</v>
      </c>
    </row>
    <row r="29" spans="1:7">
      <c r="A29" s="3115">
        <v>9</v>
      </c>
      <c r="B29" s="3115" t="s">
        <v>4227</v>
      </c>
      <c r="C29" s="3324"/>
      <c r="D29" s="3324"/>
      <c r="E29" s="3324"/>
      <c r="F29" s="3327"/>
      <c r="G29" s="3115">
        <v>12</v>
      </c>
    </row>
    <row r="30" spans="1:7">
      <c r="A30" s="3115">
        <v>9</v>
      </c>
      <c r="B30" s="3115" t="s">
        <v>4228</v>
      </c>
      <c r="C30" s="3324"/>
      <c r="D30" s="3324"/>
      <c r="E30" s="3324"/>
      <c r="F30" s="3327"/>
      <c r="G30" s="3115">
        <v>10</v>
      </c>
    </row>
    <row r="31" spans="1:7">
      <c r="A31" s="3115">
        <v>9</v>
      </c>
      <c r="B31" s="3115" t="s">
        <v>4229</v>
      </c>
      <c r="C31" s="3324"/>
      <c r="D31" s="3324"/>
      <c r="E31" s="3324"/>
      <c r="F31" s="3327"/>
      <c r="G31" s="3115">
        <v>12</v>
      </c>
    </row>
    <row r="32" spans="1:7">
      <c r="A32" s="3115">
        <v>9</v>
      </c>
      <c r="B32" s="3115" t="s">
        <v>4230</v>
      </c>
      <c r="C32" s="3324"/>
      <c r="D32" s="3324"/>
      <c r="E32" s="3324"/>
      <c r="F32" s="3328"/>
      <c r="G32" s="3115">
        <v>10</v>
      </c>
    </row>
    <row r="33" spans="1:7">
      <c r="A33" s="3112">
        <v>9</v>
      </c>
      <c r="B33" s="3112" t="s">
        <v>4231</v>
      </c>
      <c r="C33" s="3112"/>
      <c r="D33" s="3112"/>
      <c r="E33" s="3114"/>
      <c r="F33" s="3114"/>
      <c r="G33" s="3112">
        <v>24</v>
      </c>
    </row>
    <row r="34" spans="1:7">
      <c r="A34" s="3112">
        <v>9</v>
      </c>
      <c r="B34" s="3112" t="s">
        <v>4232</v>
      </c>
      <c r="C34" s="3112"/>
      <c r="D34" s="3112"/>
      <c r="E34" s="3114"/>
      <c r="F34" s="3114"/>
      <c r="G34" s="3112">
        <v>27</v>
      </c>
    </row>
    <row r="35" spans="1:7">
      <c r="A35" s="3112">
        <v>10</v>
      </c>
      <c r="B35" s="3112" t="s">
        <v>3472</v>
      </c>
      <c r="C35" s="3329" t="s">
        <v>4212</v>
      </c>
      <c r="D35" s="3330">
        <v>43829</v>
      </c>
      <c r="E35" s="3329">
        <v>27570.560000000001</v>
      </c>
      <c r="F35" s="3329">
        <v>2326.94</v>
      </c>
      <c r="G35" s="3113" t="s">
        <v>4233</v>
      </c>
    </row>
    <row r="36" spans="1:7">
      <c r="A36" s="3112">
        <v>10</v>
      </c>
      <c r="B36" s="3112" t="s">
        <v>3473</v>
      </c>
      <c r="C36" s="3329"/>
      <c r="D36" s="3330"/>
      <c r="E36" s="3329"/>
      <c r="F36" s="3329"/>
      <c r="G36" s="3113" t="s">
        <v>4234</v>
      </c>
    </row>
    <row r="37" spans="1:7">
      <c r="A37" s="3112">
        <v>10</v>
      </c>
      <c r="B37" s="3112" t="s">
        <v>4211</v>
      </c>
      <c r="C37" s="3118" t="s">
        <v>4235</v>
      </c>
      <c r="D37" s="3119">
        <v>43812</v>
      </c>
      <c r="E37" s="3118">
        <v>7833.26</v>
      </c>
      <c r="F37" s="3118">
        <v>0</v>
      </c>
      <c r="G37" s="3118">
        <v>68</v>
      </c>
    </row>
    <row r="38" spans="1:7">
      <c r="A38" s="3112">
        <v>10</v>
      </c>
      <c r="B38" s="3112" t="s">
        <v>4236</v>
      </c>
      <c r="C38" s="3113" t="s">
        <v>4237</v>
      </c>
      <c r="D38" s="3120">
        <v>43829</v>
      </c>
      <c r="E38" s="3113">
        <v>14452.04</v>
      </c>
      <c r="F38" s="3113">
        <v>716.2</v>
      </c>
      <c r="G38" s="3113" t="s">
        <v>4238</v>
      </c>
    </row>
    <row r="39" spans="1:7">
      <c r="A39" s="3112">
        <v>10</v>
      </c>
      <c r="B39" s="3112" t="s">
        <v>4239</v>
      </c>
      <c r="C39" s="3112" t="s">
        <v>4240</v>
      </c>
      <c r="D39" s="3121">
        <v>43818</v>
      </c>
      <c r="E39" s="3112">
        <v>7817.16</v>
      </c>
      <c r="F39" s="3112">
        <v>0</v>
      </c>
      <c r="G39" s="3112">
        <v>68</v>
      </c>
    </row>
    <row r="40" spans="1:7">
      <c r="A40" s="3112">
        <v>10</v>
      </c>
      <c r="B40" s="3112" t="s">
        <v>4241</v>
      </c>
      <c r="C40" s="3113" t="s">
        <v>4237</v>
      </c>
      <c r="D40" s="3120">
        <v>43829</v>
      </c>
      <c r="E40" s="3113">
        <v>7817.96</v>
      </c>
      <c r="F40" s="3113">
        <v>851.4</v>
      </c>
      <c r="G40" s="3113" t="s">
        <v>4242</v>
      </c>
    </row>
    <row r="41" spans="1:7">
      <c r="A41" s="3112">
        <v>10</v>
      </c>
      <c r="B41" s="3112" t="s">
        <v>4215</v>
      </c>
      <c r="C41" s="3118" t="s">
        <v>4235</v>
      </c>
      <c r="D41" s="3119">
        <v>43812</v>
      </c>
      <c r="E41" s="3118">
        <v>7820</v>
      </c>
      <c r="F41" s="3118">
        <v>591.28</v>
      </c>
      <c r="G41" s="3118" t="s">
        <v>4243</v>
      </c>
    </row>
  </sheetData>
  <autoFilter ref="A1:G41" xr:uid="{00000000-0009-0000-0000-00000F000000}"/>
  <mergeCells count="24">
    <mergeCell ref="C2:C4"/>
    <mergeCell ref="D2:D4"/>
    <mergeCell ref="E2:E4"/>
    <mergeCell ref="F2:F4"/>
    <mergeCell ref="C5:C6"/>
    <mergeCell ref="D5:D6"/>
    <mergeCell ref="E5:E6"/>
    <mergeCell ref="F5:F6"/>
    <mergeCell ref="C7:C8"/>
    <mergeCell ref="D7:D8"/>
    <mergeCell ref="E7:E8"/>
    <mergeCell ref="F7:F8"/>
    <mergeCell ref="C10:C15"/>
    <mergeCell ref="D10:D15"/>
    <mergeCell ref="E10:E15"/>
    <mergeCell ref="F10:F15"/>
    <mergeCell ref="C28:C32"/>
    <mergeCell ref="D28:D32"/>
    <mergeCell ref="E28:E32"/>
    <mergeCell ref="F28:F32"/>
    <mergeCell ref="C35:C36"/>
    <mergeCell ref="D35:D36"/>
    <mergeCell ref="E35:E36"/>
    <mergeCell ref="F35:F36"/>
  </mergeCells>
  <phoneticPr fontId="142"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9"/>
  <sheetViews>
    <sheetView workbookViewId="0">
      <selection activeCell="D2" sqref="D2:F6"/>
    </sheetView>
  </sheetViews>
  <sheetFormatPr baseColWidth="10" defaultColWidth="8.83203125" defaultRowHeight="14"/>
  <cols>
    <col min="1" max="1" width="9.6640625" style="1737" customWidth="1"/>
    <col min="2" max="2" width="11.5" style="1737" bestFit="1" customWidth="1"/>
    <col min="3" max="3" width="19.1640625" style="1737" bestFit="1" customWidth="1"/>
    <col min="4" max="4" width="12.33203125" style="1737" customWidth="1"/>
    <col min="5" max="5" width="17.6640625" style="1737" customWidth="1"/>
    <col min="6" max="6" width="10.33203125" style="1737" customWidth="1"/>
    <col min="7" max="7" width="15.83203125" style="1737" customWidth="1"/>
    <col min="8" max="8" width="18.83203125" style="1737" customWidth="1"/>
    <col min="9" max="16384" width="8.83203125" style="1737"/>
  </cols>
  <sheetData>
    <row r="1" spans="1:8" ht="32.25" customHeight="1">
      <c r="A1" s="3338" t="s">
        <v>4244</v>
      </c>
      <c r="B1" s="3338" t="s">
        <v>4245</v>
      </c>
      <c r="C1" s="3338"/>
      <c r="D1" s="3338" t="s">
        <v>4246</v>
      </c>
      <c r="E1" s="3338"/>
      <c r="F1" s="3338" t="s">
        <v>4247</v>
      </c>
      <c r="G1" s="3338"/>
      <c r="H1" s="3123" t="s">
        <v>4248</v>
      </c>
    </row>
    <row r="2" spans="1:8" ht="32.25" customHeight="1">
      <c r="A2" s="3338"/>
      <c r="B2" s="3124" t="s">
        <v>4249</v>
      </c>
      <c r="C2" s="3124" t="s">
        <v>4250</v>
      </c>
      <c r="D2" s="3124" t="s">
        <v>4251</v>
      </c>
      <c r="E2" s="3124" t="s">
        <v>4252</v>
      </c>
      <c r="F2" s="3124" t="s">
        <v>4251</v>
      </c>
      <c r="G2" s="3124" t="s">
        <v>4252</v>
      </c>
    </row>
    <row r="3" spans="1:8" ht="32.25" customHeight="1">
      <c r="A3" s="3125" t="s">
        <v>4253</v>
      </c>
      <c r="B3" s="3126">
        <v>23</v>
      </c>
      <c r="C3" s="3126">
        <f>E3+G3</f>
        <v>104889.7</v>
      </c>
      <c r="D3" s="3126">
        <v>12</v>
      </c>
      <c r="E3" s="3126">
        <v>66403</v>
      </c>
      <c r="F3" s="3126">
        <v>11</v>
      </c>
      <c r="G3" s="3126">
        <v>38486.699999999997</v>
      </c>
      <c r="H3" s="3127">
        <v>33201.730000000003</v>
      </c>
    </row>
    <row r="4" spans="1:8" ht="32.25" customHeight="1">
      <c r="A4" s="3125" t="s">
        <v>4254</v>
      </c>
      <c r="B4" s="3126">
        <v>15</v>
      </c>
      <c r="C4" s="3126">
        <f t="shared" ref="C4:C5" si="0">E4+G4</f>
        <v>97331</v>
      </c>
      <c r="D4" s="3126">
        <v>6</v>
      </c>
      <c r="E4" s="3126">
        <v>61659</v>
      </c>
      <c r="F4" s="3126">
        <v>9</v>
      </c>
      <c r="G4" s="3126">
        <v>35672</v>
      </c>
      <c r="H4" s="3122">
        <f>6805.5+45065.74</f>
        <v>51871.24</v>
      </c>
    </row>
    <row r="5" spans="1:8" ht="32.25" customHeight="1">
      <c r="A5" s="3125" t="s">
        <v>4255</v>
      </c>
      <c r="B5" s="3126">
        <v>22</v>
      </c>
      <c r="C5" s="3126">
        <f t="shared" si="0"/>
        <v>119112</v>
      </c>
      <c r="D5" s="3126">
        <v>8</v>
      </c>
      <c r="E5" s="3126">
        <v>62242</v>
      </c>
      <c r="F5" s="3126">
        <v>14</v>
      </c>
      <c r="G5" s="3126">
        <v>56870</v>
      </c>
      <c r="H5" s="3122">
        <f>32731.06+10735.32</f>
        <v>43466.380000000005</v>
      </c>
    </row>
    <row r="6" spans="1:8" s="3130" customFormat="1" ht="32.25" customHeight="1">
      <c r="A6" s="3128" t="s">
        <v>3127</v>
      </c>
      <c r="B6" s="3129">
        <f>SUM(B3:B5)</f>
        <v>60</v>
      </c>
      <c r="C6" s="3129">
        <f t="shared" ref="C6:H6" si="1">SUM(C3:C5)</f>
        <v>321332.7</v>
      </c>
      <c r="D6" s="3129">
        <f t="shared" si="1"/>
        <v>26</v>
      </c>
      <c r="E6" s="3129">
        <f t="shared" si="1"/>
        <v>190304</v>
      </c>
      <c r="F6" s="3129">
        <f t="shared" si="1"/>
        <v>34</v>
      </c>
      <c r="G6" s="3129">
        <f t="shared" si="1"/>
        <v>131028.7</v>
      </c>
      <c r="H6" s="3129">
        <f t="shared" si="1"/>
        <v>128539.35</v>
      </c>
    </row>
    <row r="9" spans="1:8">
      <c r="A9" s="1737" t="s">
        <v>4256</v>
      </c>
    </row>
  </sheetData>
  <mergeCells count="4">
    <mergeCell ref="A1:A2"/>
    <mergeCell ref="B1:C1"/>
    <mergeCell ref="D1:E1"/>
    <mergeCell ref="F1:G1"/>
  </mergeCells>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O15"/>
  <sheetViews>
    <sheetView zoomScaleNormal="100" workbookViewId="0">
      <selection activeCell="F16" sqref="F16"/>
    </sheetView>
  </sheetViews>
  <sheetFormatPr baseColWidth="10" defaultColWidth="8.83203125" defaultRowHeight="14"/>
  <cols>
    <col min="1" max="1" width="2.5" style="3075" customWidth="1"/>
    <col min="2" max="2" width="11.33203125" style="3075" customWidth="1"/>
    <col min="3" max="7" width="8.83203125" style="3075"/>
    <col min="8" max="8" width="12" style="3075" customWidth="1"/>
    <col min="9" max="10" width="8.83203125" style="3075"/>
    <col min="11" max="11" width="9.83203125" style="3075" customWidth="1"/>
    <col min="12" max="12" width="8.83203125" style="3075"/>
    <col min="13" max="13" width="10.1640625" style="3075" customWidth="1"/>
    <col min="14" max="14" width="9.6640625" style="3075" customWidth="1"/>
    <col min="15" max="15" width="10.5" style="3075" customWidth="1"/>
    <col min="16" max="16384" width="8.83203125" style="3075"/>
  </cols>
  <sheetData>
    <row r="1" spans="2:15" ht="15" thickBot="1"/>
    <row r="2" spans="2:15" ht="17" thickBot="1">
      <c r="B2" s="3340" t="s">
        <v>4020</v>
      </c>
      <c r="C2" s="3341"/>
      <c r="D2" s="3341"/>
      <c r="E2" s="3341"/>
      <c r="F2" s="3341"/>
      <c r="G2" s="3341"/>
      <c r="H2" s="3341"/>
      <c r="I2" s="3341"/>
      <c r="J2" s="3341"/>
      <c r="K2" s="3341"/>
      <c r="L2" s="3341"/>
      <c r="M2" s="3341"/>
      <c r="N2" s="3341"/>
      <c r="O2" s="3342"/>
    </row>
    <row r="3" spans="2:15" ht="40.5" customHeight="1" thickTop="1" thickBot="1">
      <c r="B3" s="3343" t="s">
        <v>4021</v>
      </c>
      <c r="C3" s="3344"/>
      <c r="D3" s="3344"/>
      <c r="E3" s="3344"/>
      <c r="F3" s="3344"/>
      <c r="G3" s="3344"/>
      <c r="H3" s="3344"/>
      <c r="I3" s="3344"/>
      <c r="J3" s="3344"/>
      <c r="K3" s="3344"/>
      <c r="L3" s="3344"/>
      <c r="M3" s="3344"/>
      <c r="N3" s="3344"/>
      <c r="O3" s="3345"/>
    </row>
    <row r="4" spans="2:15" ht="15" customHeight="1" thickBot="1">
      <c r="B4" s="3076"/>
      <c r="C4" s="3346" t="s">
        <v>4022</v>
      </c>
      <c r="D4" s="3347"/>
      <c r="E4" s="3347"/>
      <c r="F4" s="3347"/>
      <c r="G4" s="3347"/>
      <c r="H4" s="3347" t="s">
        <v>4023</v>
      </c>
      <c r="I4" s="3347"/>
      <c r="J4" s="3348"/>
      <c r="K4" s="3346" t="s">
        <v>4024</v>
      </c>
      <c r="L4" s="3347"/>
      <c r="M4" s="3347"/>
      <c r="N4" s="3347"/>
      <c r="O4" s="3348"/>
    </row>
    <row r="5" spans="2:15" ht="18" thickBot="1">
      <c r="B5" s="3077" t="s">
        <v>4025</v>
      </c>
      <c r="C5" s="3077" t="s">
        <v>4026</v>
      </c>
      <c r="D5" s="3077" t="s">
        <v>4027</v>
      </c>
      <c r="E5" s="3077" t="s">
        <v>4028</v>
      </c>
      <c r="F5" s="3077" t="s">
        <v>4029</v>
      </c>
      <c r="G5" s="3077" t="s">
        <v>4030</v>
      </c>
      <c r="H5" s="3077" t="s">
        <v>4031</v>
      </c>
      <c r="I5" s="3077" t="s">
        <v>4032</v>
      </c>
      <c r="J5" s="3077" t="s">
        <v>4033</v>
      </c>
      <c r="K5" s="3077" t="s">
        <v>4034</v>
      </c>
      <c r="L5" s="3077" t="s">
        <v>4035</v>
      </c>
      <c r="M5" s="3077" t="s">
        <v>4036</v>
      </c>
      <c r="N5" s="3077" t="s">
        <v>4037</v>
      </c>
      <c r="O5" s="3077" t="s">
        <v>3770</v>
      </c>
    </row>
    <row r="6" spans="2:15" ht="20.25" customHeight="1" thickBot="1">
      <c r="B6" s="3078" t="s">
        <v>4038</v>
      </c>
      <c r="C6" s="3079" t="s">
        <v>4039</v>
      </c>
      <c r="D6" s="3079" t="s">
        <v>4039</v>
      </c>
      <c r="E6" s="3079" t="s">
        <v>4039</v>
      </c>
      <c r="F6" s="3079" t="s">
        <v>4039</v>
      </c>
      <c r="G6" s="3079" t="s">
        <v>4039</v>
      </c>
      <c r="H6" s="3079" t="s">
        <v>4039</v>
      </c>
      <c r="I6" s="3079" t="s">
        <v>4039</v>
      </c>
      <c r="J6" s="3079" t="s">
        <v>4039</v>
      </c>
      <c r="K6" s="3080" t="s">
        <v>4040</v>
      </c>
      <c r="L6" s="3080" t="s">
        <v>4040</v>
      </c>
      <c r="M6" s="3080" t="s">
        <v>4041</v>
      </c>
      <c r="N6" s="3080" t="s">
        <v>4042</v>
      </c>
      <c r="O6" s="3080" t="s">
        <v>4041</v>
      </c>
    </row>
    <row r="7" spans="2:15" ht="20.25" customHeight="1" thickBot="1">
      <c r="B7" s="3078" t="s">
        <v>4043</v>
      </c>
      <c r="C7" s="3079" t="s">
        <v>4039</v>
      </c>
      <c r="D7" s="3079" t="s">
        <v>4039</v>
      </c>
      <c r="E7" s="3079" t="s">
        <v>4039</v>
      </c>
      <c r="F7" s="3079" t="s">
        <v>4039</v>
      </c>
      <c r="G7" s="3079" t="s">
        <v>4039</v>
      </c>
      <c r="H7" s="3079" t="s">
        <v>4039</v>
      </c>
      <c r="I7" s="3079" t="s">
        <v>4039</v>
      </c>
      <c r="J7" s="3079" t="s">
        <v>4039</v>
      </c>
      <c r="K7" s="3080" t="s">
        <v>4044</v>
      </c>
      <c r="L7" s="3080" t="s">
        <v>4045</v>
      </c>
      <c r="M7" s="3080" t="s">
        <v>4041</v>
      </c>
      <c r="N7" s="3080" t="s">
        <v>4042</v>
      </c>
      <c r="O7" s="3080" t="s">
        <v>4041</v>
      </c>
    </row>
    <row r="8" spans="2:15" ht="20.25" customHeight="1" thickBot="1">
      <c r="B8" s="3078" t="s">
        <v>4046</v>
      </c>
      <c r="C8" s="3079" t="s">
        <v>4039</v>
      </c>
      <c r="D8" s="3079" t="s">
        <v>4039</v>
      </c>
      <c r="E8" s="3079" t="s">
        <v>4039</v>
      </c>
      <c r="F8" s="3079" t="s">
        <v>4039</v>
      </c>
      <c r="G8" s="3079" t="s">
        <v>4039</v>
      </c>
      <c r="H8" s="3079" t="s">
        <v>4039</v>
      </c>
      <c r="I8" s="3079" t="s">
        <v>4039</v>
      </c>
      <c r="J8" s="3079" t="s">
        <v>4039</v>
      </c>
      <c r="K8" s="3081" t="s">
        <v>4047</v>
      </c>
      <c r="L8" s="3081" t="s">
        <v>4047</v>
      </c>
      <c r="M8" s="3081" t="s">
        <v>4047</v>
      </c>
      <c r="N8" s="3081" t="s">
        <v>4047</v>
      </c>
      <c r="O8" s="3081" t="s">
        <v>4047</v>
      </c>
    </row>
    <row r="9" spans="2:15" ht="20.25" customHeight="1" thickBot="1">
      <c r="B9" s="3077" t="s">
        <v>4048</v>
      </c>
      <c r="C9" s="3082" t="s">
        <v>4039</v>
      </c>
      <c r="D9" s="3083" t="s">
        <v>4040</v>
      </c>
      <c r="E9" s="3082" t="s">
        <v>4039</v>
      </c>
      <c r="F9" s="3082" t="s">
        <v>4039</v>
      </c>
      <c r="G9" s="3083" t="s">
        <v>4049</v>
      </c>
      <c r="H9" s="3082" t="s">
        <v>4039</v>
      </c>
      <c r="I9" s="3082" t="s">
        <v>4039</v>
      </c>
      <c r="J9" s="3082" t="s">
        <v>4039</v>
      </c>
      <c r="K9" s="3083" t="s">
        <v>4050</v>
      </c>
      <c r="L9" s="3083" t="s">
        <v>4044</v>
      </c>
      <c r="M9" s="3083" t="s">
        <v>4041</v>
      </c>
      <c r="N9" s="3083" t="s">
        <v>4042</v>
      </c>
      <c r="O9" s="3083" t="s">
        <v>4041</v>
      </c>
    </row>
    <row r="10" spans="2:15" ht="20.25" customHeight="1" thickBot="1">
      <c r="B10" s="3078" t="s">
        <v>4051</v>
      </c>
      <c r="C10" s="3079" t="s">
        <v>4039</v>
      </c>
      <c r="D10" s="3080" t="s">
        <v>4050</v>
      </c>
      <c r="E10" s="3080" t="s">
        <v>4044</v>
      </c>
      <c r="F10" s="3082" t="s">
        <v>4039</v>
      </c>
      <c r="G10" s="3080" t="s">
        <v>4050</v>
      </c>
      <c r="H10" s="3082" t="s">
        <v>4039</v>
      </c>
      <c r="I10" s="3082" t="s">
        <v>4039</v>
      </c>
      <c r="J10" s="3082" t="s">
        <v>4039</v>
      </c>
      <c r="K10" s="3080" t="s">
        <v>4052</v>
      </c>
      <c r="L10" s="3080" t="s">
        <v>4044</v>
      </c>
      <c r="M10" s="3080" t="s">
        <v>4041</v>
      </c>
      <c r="N10" s="3080" t="s">
        <v>4042</v>
      </c>
      <c r="O10" s="3080" t="s">
        <v>4041</v>
      </c>
    </row>
    <row r="11" spans="2:15" ht="20.25" customHeight="1" thickBot="1">
      <c r="B11" s="3084" t="s">
        <v>4053</v>
      </c>
      <c r="C11" s="3083" t="s">
        <v>4044</v>
      </c>
      <c r="D11" s="3083" t="s">
        <v>4042</v>
      </c>
      <c r="E11" s="3083" t="s">
        <v>4054</v>
      </c>
      <c r="F11" s="3083" t="s">
        <v>4055</v>
      </c>
      <c r="G11" s="3083" t="s">
        <v>4056</v>
      </c>
      <c r="H11" s="3082" t="s">
        <v>4057</v>
      </c>
      <c r="I11" s="3082" t="s">
        <v>4057</v>
      </c>
      <c r="J11" s="3082" t="s">
        <v>4057</v>
      </c>
      <c r="K11" s="3083" t="s">
        <v>4041</v>
      </c>
      <c r="L11" s="3083" t="s">
        <v>4044</v>
      </c>
      <c r="M11" s="3083" t="s">
        <v>4041</v>
      </c>
      <c r="N11" s="3083" t="s">
        <v>4042</v>
      </c>
      <c r="O11" s="3083" t="s">
        <v>4041</v>
      </c>
    </row>
    <row r="12" spans="2:15" s="3085" customFormat="1" ht="90">
      <c r="C12" s="3086" t="s">
        <v>4058</v>
      </c>
      <c r="D12" s="3085" t="s">
        <v>4059</v>
      </c>
      <c r="E12" s="3085" t="s">
        <v>4060</v>
      </c>
      <c r="F12" s="3085" t="s">
        <v>4061</v>
      </c>
      <c r="G12" s="3085" t="s">
        <v>4062</v>
      </c>
      <c r="H12" s="3085" t="s">
        <v>4063</v>
      </c>
      <c r="I12" s="3087" t="s">
        <v>4064</v>
      </c>
      <c r="J12" s="3087" t="s">
        <v>4065</v>
      </c>
      <c r="K12" s="3085" t="s">
        <v>4066</v>
      </c>
      <c r="L12" s="3085" t="s">
        <v>4067</v>
      </c>
      <c r="M12" s="3085" t="s">
        <v>4068</v>
      </c>
      <c r="N12" s="3085" t="s">
        <v>4069</v>
      </c>
      <c r="O12" s="3085" t="s">
        <v>4257</v>
      </c>
    </row>
    <row r="13" spans="2:15">
      <c r="B13" s="3339"/>
      <c r="C13" s="3339"/>
      <c r="D13" s="3339"/>
      <c r="E13" s="3339"/>
      <c r="F13" s="3339"/>
      <c r="G13" s="3339"/>
      <c r="H13" s="3339"/>
      <c r="I13" s="3339"/>
      <c r="J13" s="3339"/>
      <c r="K13" s="3339"/>
      <c r="L13" s="3339"/>
      <c r="M13" s="3339"/>
    </row>
    <row r="15" spans="2:15">
      <c r="C15" s="3075">
        <v>5</v>
      </c>
      <c r="D15" s="3075">
        <v>15</v>
      </c>
      <c r="E15" s="3075">
        <v>16</v>
      </c>
      <c r="F15" s="3075">
        <v>7</v>
      </c>
      <c r="G15" s="3075">
        <v>29</v>
      </c>
      <c r="H15" s="3075">
        <v>17</v>
      </c>
      <c r="I15" s="3075">
        <v>13</v>
      </c>
      <c r="J15" s="3075">
        <v>12</v>
      </c>
      <c r="K15" s="3075">
        <v>33</v>
      </c>
      <c r="L15" s="3075">
        <v>19</v>
      </c>
      <c r="M15" s="3075">
        <v>64</v>
      </c>
      <c r="N15" s="3075">
        <v>64</v>
      </c>
      <c r="O15" s="3075">
        <v>80</v>
      </c>
    </row>
  </sheetData>
  <mergeCells count="6">
    <mergeCell ref="B13:M13"/>
    <mergeCell ref="B2:O2"/>
    <mergeCell ref="B3:O3"/>
    <mergeCell ref="C4:G4"/>
    <mergeCell ref="H4:J4"/>
    <mergeCell ref="K4:O4"/>
  </mergeCells>
  <phoneticPr fontId="142"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21"/>
  <sheetViews>
    <sheetView topLeftCell="C1" zoomScale="140" zoomScaleNormal="140" workbookViewId="0">
      <selection activeCell="B9" activeCellId="1" sqref="A2:XFD8 A9:XFD9"/>
    </sheetView>
  </sheetViews>
  <sheetFormatPr baseColWidth="10" defaultColWidth="9" defaultRowHeight="14"/>
  <cols>
    <col min="1" max="1" width="4" style="3064" bestFit="1" customWidth="1"/>
    <col min="2" max="2" width="30" style="3064" bestFit="1" customWidth="1"/>
    <col min="3" max="3" width="34.83203125" style="3070" bestFit="1" customWidth="1"/>
    <col min="4" max="4" width="16.33203125" style="3064" bestFit="1" customWidth="1"/>
    <col min="5" max="7" width="8.5" style="3064" bestFit="1" customWidth="1"/>
    <col min="8" max="8" width="6.6640625" style="3064" bestFit="1" customWidth="1"/>
    <col min="9" max="9" width="11.33203125" style="3071" bestFit="1" customWidth="1"/>
    <col min="10" max="10" width="29.1640625" style="3064" bestFit="1" customWidth="1"/>
    <col min="11" max="11" width="39.83203125" style="3064" customWidth="1"/>
    <col min="12" max="12" width="60" style="3064" bestFit="1" customWidth="1"/>
    <col min="13" max="13" width="70.6640625" style="3064" bestFit="1" customWidth="1"/>
    <col min="14" max="16384" width="9" style="3064"/>
  </cols>
  <sheetData>
    <row r="1" spans="1:13" ht="15">
      <c r="A1" s="3061" t="s">
        <v>3964</v>
      </c>
      <c r="B1" s="3061" t="s">
        <v>3965</v>
      </c>
      <c r="C1" s="3062" t="s">
        <v>3966</v>
      </c>
      <c r="D1" s="3061" t="s">
        <v>3967</v>
      </c>
      <c r="E1" s="3061" t="s">
        <v>3968</v>
      </c>
      <c r="F1" s="3061" t="s">
        <v>3969</v>
      </c>
      <c r="G1" s="3061" t="s">
        <v>3970</v>
      </c>
      <c r="H1" s="3061" t="s">
        <v>3134</v>
      </c>
      <c r="I1" s="3063"/>
      <c r="J1" s="3061" t="s">
        <v>3971</v>
      </c>
      <c r="K1" s="3061" t="s">
        <v>3972</v>
      </c>
      <c r="L1" s="3015" t="s">
        <v>3973</v>
      </c>
      <c r="M1" s="3015" t="s">
        <v>3974</v>
      </c>
    </row>
    <row r="2" spans="1:13" ht="15">
      <c r="A2" s="3061">
        <v>1</v>
      </c>
      <c r="B2" s="3065" t="s">
        <v>3644</v>
      </c>
      <c r="C2" s="3065" t="s">
        <v>3116</v>
      </c>
      <c r="D2" s="3061" t="s">
        <v>3975</v>
      </c>
      <c r="E2" s="3061" t="s">
        <v>3157</v>
      </c>
      <c r="F2" s="3061">
        <v>84.2</v>
      </c>
      <c r="G2" s="3061">
        <v>56133</v>
      </c>
      <c r="H2" s="3065">
        <v>1.1000000000000001</v>
      </c>
      <c r="I2" s="3066">
        <f>G2*H2</f>
        <v>61746.3</v>
      </c>
      <c r="J2" s="3349" t="s">
        <v>3976</v>
      </c>
      <c r="K2" s="3061"/>
      <c r="L2" s="3015"/>
      <c r="M2" s="3015" t="s">
        <v>3977</v>
      </c>
    </row>
    <row r="3" spans="1:13" ht="15">
      <c r="A3" s="3061">
        <v>2</v>
      </c>
      <c r="B3" s="3065" t="s">
        <v>3644</v>
      </c>
      <c r="C3" s="3065" t="s">
        <v>3123</v>
      </c>
      <c r="D3" s="3061" t="s">
        <v>3975</v>
      </c>
      <c r="E3" s="3061" t="s">
        <v>3158</v>
      </c>
      <c r="F3" s="3061">
        <v>77.540000000000006</v>
      </c>
      <c r="G3" s="3061">
        <v>51693</v>
      </c>
      <c r="H3" s="3065">
        <v>1.1000000000000001</v>
      </c>
      <c r="I3" s="3066">
        <f t="shared" ref="I3:I20" si="0">G3*H3</f>
        <v>56862.3</v>
      </c>
      <c r="J3" s="3350"/>
      <c r="K3" s="3061"/>
      <c r="L3" s="3015"/>
      <c r="M3" s="3015"/>
    </row>
    <row r="4" spans="1:13" ht="15">
      <c r="A4" s="3061">
        <v>3</v>
      </c>
      <c r="B4" s="3065" t="s">
        <v>3644</v>
      </c>
      <c r="C4" s="3065" t="s">
        <v>3978</v>
      </c>
      <c r="D4" s="3061" t="s">
        <v>3975</v>
      </c>
      <c r="E4" s="3061" t="s">
        <v>3447</v>
      </c>
      <c r="F4" s="3061">
        <v>70.150000000000006</v>
      </c>
      <c r="G4" s="3061">
        <v>46766.67</v>
      </c>
      <c r="H4" s="3065">
        <v>1.1000000000000001</v>
      </c>
      <c r="I4" s="3066">
        <f t="shared" si="0"/>
        <v>51443.337</v>
      </c>
      <c r="J4" s="3350"/>
      <c r="K4" s="3061"/>
      <c r="L4" s="3015"/>
      <c r="M4" s="3015"/>
    </row>
    <row r="5" spans="1:13" ht="15">
      <c r="A5" s="3061">
        <v>4</v>
      </c>
      <c r="B5" s="3065" t="s">
        <v>3644</v>
      </c>
      <c r="C5" s="3065" t="s">
        <v>3979</v>
      </c>
      <c r="D5" s="3061" t="s">
        <v>3975</v>
      </c>
      <c r="E5" s="3061" t="s">
        <v>3445</v>
      </c>
      <c r="F5" s="3061">
        <v>97.15</v>
      </c>
      <c r="G5" s="3061">
        <v>64766.67</v>
      </c>
      <c r="H5" s="3065">
        <v>1.1000000000000001</v>
      </c>
      <c r="I5" s="3066">
        <f t="shared" si="0"/>
        <v>71243.337</v>
      </c>
      <c r="J5" s="3350"/>
      <c r="K5" s="3061"/>
      <c r="L5" s="3015"/>
      <c r="M5" s="3015"/>
    </row>
    <row r="6" spans="1:13" ht="45">
      <c r="A6" s="3061">
        <v>5</v>
      </c>
      <c r="B6" s="3065" t="s">
        <v>3644</v>
      </c>
      <c r="C6" s="3065" t="s">
        <v>3118</v>
      </c>
      <c r="D6" s="3061" t="s">
        <v>3975</v>
      </c>
      <c r="E6" s="3061" t="s">
        <v>3443</v>
      </c>
      <c r="F6" s="3061">
        <v>104.5</v>
      </c>
      <c r="G6" s="3061">
        <v>69666.67</v>
      </c>
      <c r="H6" s="3065">
        <v>1.1000000000000001</v>
      </c>
      <c r="I6" s="3066">
        <f t="shared" si="0"/>
        <v>76633.337</v>
      </c>
      <c r="J6" s="3350"/>
      <c r="K6" s="3062" t="s">
        <v>3980</v>
      </c>
      <c r="L6" s="3067" t="s">
        <v>3981</v>
      </c>
      <c r="M6" s="3067" t="s">
        <v>3982</v>
      </c>
    </row>
    <row r="7" spans="1:13" ht="15">
      <c r="A7" s="3061">
        <v>6</v>
      </c>
      <c r="B7" s="3065" t="s">
        <v>3644</v>
      </c>
      <c r="C7" s="3065" t="s">
        <v>3983</v>
      </c>
      <c r="D7" s="3061" t="s">
        <v>3975</v>
      </c>
      <c r="E7" s="3061" t="s">
        <v>3444</v>
      </c>
      <c r="F7" s="3061">
        <v>90.1</v>
      </c>
      <c r="G7" s="3061">
        <v>60067</v>
      </c>
      <c r="H7" s="3065">
        <v>1.1000000000000001</v>
      </c>
      <c r="I7" s="3066">
        <f t="shared" si="0"/>
        <v>66073.700000000012</v>
      </c>
      <c r="J7" s="3350"/>
      <c r="K7" s="3061"/>
      <c r="L7" s="3015"/>
      <c r="M7" s="3015"/>
    </row>
    <row r="8" spans="1:13" ht="15">
      <c r="A8" s="3061">
        <v>7</v>
      </c>
      <c r="B8" s="3065" t="s">
        <v>3644</v>
      </c>
      <c r="C8" s="3065" t="s">
        <v>3984</v>
      </c>
      <c r="D8" s="3061" t="s">
        <v>3975</v>
      </c>
      <c r="E8" s="3061" t="s">
        <v>3446</v>
      </c>
      <c r="F8" s="3061">
        <v>66.099999999999994</v>
      </c>
      <c r="G8" s="3061">
        <v>44067</v>
      </c>
      <c r="H8" s="3065">
        <v>1.1000000000000001</v>
      </c>
      <c r="I8" s="3066">
        <f t="shared" si="0"/>
        <v>48473.700000000004</v>
      </c>
      <c r="J8" s="3351"/>
      <c r="K8" s="3061"/>
      <c r="L8" s="3015"/>
      <c r="M8" s="3015"/>
    </row>
    <row r="9" spans="1:13" ht="45">
      <c r="A9" s="3061">
        <v>8</v>
      </c>
      <c r="B9" s="3065" t="s">
        <v>3086</v>
      </c>
      <c r="C9" s="3065" t="s">
        <v>3985</v>
      </c>
      <c r="D9" s="3061" t="s">
        <v>3975</v>
      </c>
      <c r="E9" s="3061" t="s">
        <v>3442</v>
      </c>
      <c r="F9" s="3061">
        <v>104.3</v>
      </c>
      <c r="G9" s="3061">
        <v>69533</v>
      </c>
      <c r="H9" s="3065">
        <v>1.1000000000000001</v>
      </c>
      <c r="I9" s="3066">
        <f>G9*H9</f>
        <v>76486.3</v>
      </c>
      <c r="J9" s="3061" t="s">
        <v>3986</v>
      </c>
      <c r="K9" s="3062" t="s">
        <v>3987</v>
      </c>
      <c r="L9" s="3067" t="s">
        <v>3988</v>
      </c>
      <c r="M9" s="3067" t="s">
        <v>3989</v>
      </c>
    </row>
    <row r="10" spans="1:13" ht="15">
      <c r="A10" s="3061">
        <v>9</v>
      </c>
      <c r="B10" s="3068" t="s">
        <v>3644</v>
      </c>
      <c r="C10" s="3068" t="s">
        <v>3102</v>
      </c>
      <c r="D10" s="3061" t="s">
        <v>3990</v>
      </c>
      <c r="E10" s="3061" t="s">
        <v>3154</v>
      </c>
      <c r="F10" s="3061">
        <v>94.7</v>
      </c>
      <c r="G10" s="3061">
        <v>63133</v>
      </c>
      <c r="H10" s="3068">
        <v>1</v>
      </c>
      <c r="I10" s="3066">
        <f t="shared" si="0"/>
        <v>63133</v>
      </c>
      <c r="J10" s="3061" t="s">
        <v>3991</v>
      </c>
      <c r="K10" s="3061" t="s">
        <v>3992</v>
      </c>
      <c r="L10" s="3015" t="s">
        <v>3993</v>
      </c>
      <c r="M10" s="3015"/>
    </row>
    <row r="11" spans="1:13" ht="15">
      <c r="A11" s="3061">
        <v>10</v>
      </c>
      <c r="B11" s="3068" t="s">
        <v>3086</v>
      </c>
      <c r="C11" s="3068" t="s">
        <v>3085</v>
      </c>
      <c r="D11" s="3061" t="s">
        <v>3990</v>
      </c>
      <c r="E11" s="3063">
        <v>60.6</v>
      </c>
      <c r="F11" s="3061">
        <v>60.6</v>
      </c>
      <c r="G11" s="3069">
        <v>40400</v>
      </c>
      <c r="H11" s="3068">
        <v>1</v>
      </c>
      <c r="I11" s="3066">
        <f t="shared" si="0"/>
        <v>40400</v>
      </c>
      <c r="J11" s="3352" t="s">
        <v>3994</v>
      </c>
      <c r="K11" s="3061"/>
      <c r="L11" s="3015"/>
      <c r="M11" s="3015"/>
    </row>
    <row r="12" spans="1:13" ht="15">
      <c r="A12" s="3061">
        <v>11</v>
      </c>
      <c r="B12" s="3068" t="s">
        <v>3086</v>
      </c>
      <c r="C12" s="3068" t="s">
        <v>3098</v>
      </c>
      <c r="D12" s="3061" t="s">
        <v>3995</v>
      </c>
      <c r="E12" s="3061" t="s">
        <v>3164</v>
      </c>
      <c r="F12" s="3061">
        <v>18.8</v>
      </c>
      <c r="G12" s="3069">
        <v>12533</v>
      </c>
      <c r="H12" s="3068">
        <v>1</v>
      </c>
      <c r="I12" s="3066">
        <f t="shared" si="0"/>
        <v>12533</v>
      </c>
      <c r="J12" s="3352"/>
      <c r="K12" s="3061" t="s">
        <v>3996</v>
      </c>
      <c r="L12" s="3015" t="s">
        <v>3997</v>
      </c>
      <c r="M12" s="3015"/>
    </row>
    <row r="13" spans="1:13" ht="15">
      <c r="A13" s="3061">
        <v>12</v>
      </c>
      <c r="B13" s="3068" t="s">
        <v>3086</v>
      </c>
      <c r="C13" s="3068" t="s">
        <v>3998</v>
      </c>
      <c r="D13" s="3061" t="s">
        <v>3999</v>
      </c>
      <c r="E13" s="3061" t="s">
        <v>3156</v>
      </c>
      <c r="F13" s="3061">
        <v>96</v>
      </c>
      <c r="G13" s="3061">
        <v>63972</v>
      </c>
      <c r="H13" s="3065">
        <v>0.2</v>
      </c>
      <c r="I13" s="3066">
        <f t="shared" si="0"/>
        <v>12794.400000000001</v>
      </c>
      <c r="J13" s="3349" t="s">
        <v>4000</v>
      </c>
      <c r="K13" s="3061" t="s">
        <v>4001</v>
      </c>
      <c r="L13" s="3015" t="s">
        <v>4002</v>
      </c>
      <c r="M13" s="3015"/>
    </row>
    <row r="14" spans="1:13" ht="15">
      <c r="A14" s="3061">
        <v>14</v>
      </c>
      <c r="B14" s="3068" t="s">
        <v>3086</v>
      </c>
      <c r="C14" s="3068" t="s">
        <v>4003</v>
      </c>
      <c r="D14" s="3061" t="s">
        <v>3999</v>
      </c>
      <c r="E14" s="3061" t="s">
        <v>3155</v>
      </c>
      <c r="F14" s="3061">
        <v>141.25</v>
      </c>
      <c r="G14" s="3061">
        <v>94167</v>
      </c>
      <c r="H14" s="3065">
        <v>0.2</v>
      </c>
      <c r="I14" s="3066">
        <f t="shared" si="0"/>
        <v>18833.400000000001</v>
      </c>
      <c r="J14" s="3351"/>
      <c r="K14" s="3061" t="s">
        <v>4004</v>
      </c>
      <c r="L14" s="3015" t="s">
        <v>4005</v>
      </c>
      <c r="M14" s="3015"/>
    </row>
    <row r="15" spans="1:13" ht="15">
      <c r="A15" s="3061">
        <v>13</v>
      </c>
      <c r="B15" s="3068" t="s">
        <v>3086</v>
      </c>
      <c r="C15" s="3068" t="s">
        <v>3093</v>
      </c>
      <c r="D15" s="3061" t="s">
        <v>4006</v>
      </c>
      <c r="E15" s="3061">
        <v>100.8</v>
      </c>
      <c r="F15" s="3061">
        <v>100.8</v>
      </c>
      <c r="G15" s="3061">
        <v>67200</v>
      </c>
      <c r="H15" s="3065">
        <v>7.0000000000000007E-2</v>
      </c>
      <c r="I15" s="3066">
        <f t="shared" si="0"/>
        <v>4704</v>
      </c>
      <c r="J15" s="3061" t="s">
        <v>4007</v>
      </c>
      <c r="K15" s="3061" t="s">
        <v>4008</v>
      </c>
      <c r="L15" s="3015" t="s">
        <v>4009</v>
      </c>
      <c r="M15" s="3015"/>
    </row>
    <row r="16" spans="1:13" ht="15">
      <c r="A16" s="3061">
        <v>15</v>
      </c>
      <c r="B16" s="3068" t="s">
        <v>3931</v>
      </c>
      <c r="C16" s="3068" t="s">
        <v>3074</v>
      </c>
      <c r="D16" s="3061" t="s">
        <v>3975</v>
      </c>
      <c r="E16" s="3061" t="s">
        <v>3152</v>
      </c>
      <c r="F16" s="3061">
        <v>64.239999999999995</v>
      </c>
      <c r="G16" s="3061">
        <v>42826.67</v>
      </c>
      <c r="H16" s="3068">
        <v>1.1000000000000001</v>
      </c>
      <c r="I16" s="3066">
        <f t="shared" si="0"/>
        <v>47109.337</v>
      </c>
      <c r="J16" s="3061" t="s">
        <v>4010</v>
      </c>
      <c r="K16" s="3061"/>
      <c r="L16" s="3015"/>
      <c r="M16" s="3015"/>
    </row>
    <row r="17" spans="1:13" ht="15">
      <c r="A17" s="3061">
        <v>16</v>
      </c>
      <c r="B17" s="3068" t="s">
        <v>3853</v>
      </c>
      <c r="C17" s="3068" t="s">
        <v>3067</v>
      </c>
      <c r="D17" s="3061" t="s">
        <v>3975</v>
      </c>
      <c r="E17" s="3061" t="s">
        <v>3150</v>
      </c>
      <c r="F17" s="3061">
        <v>97.64</v>
      </c>
      <c r="G17" s="3061">
        <v>65093.33</v>
      </c>
      <c r="H17" s="3068">
        <v>1.1000000000000001</v>
      </c>
      <c r="I17" s="3066">
        <f t="shared" si="0"/>
        <v>71602.663</v>
      </c>
      <c r="J17" s="3352" t="s">
        <v>4011</v>
      </c>
      <c r="K17" s="3061"/>
      <c r="L17" s="3015"/>
      <c r="M17" s="3015"/>
    </row>
    <row r="18" spans="1:13" ht="15">
      <c r="A18" s="3061">
        <v>17</v>
      </c>
      <c r="B18" s="3068" t="s">
        <v>3853</v>
      </c>
      <c r="C18" s="3068" t="s">
        <v>3053</v>
      </c>
      <c r="D18" s="3061" t="s">
        <v>3975</v>
      </c>
      <c r="E18" s="3061" t="s">
        <v>3149</v>
      </c>
      <c r="F18" s="3061">
        <v>103.79</v>
      </c>
      <c r="G18" s="3061">
        <v>69193.33</v>
      </c>
      <c r="H18" s="3068">
        <v>1.1000000000000001</v>
      </c>
      <c r="I18" s="3066">
        <f t="shared" si="0"/>
        <v>76112.663000000015</v>
      </c>
      <c r="J18" s="3352"/>
      <c r="K18" s="3061"/>
      <c r="L18" s="3015"/>
      <c r="M18" s="3015"/>
    </row>
    <row r="19" spans="1:13" ht="15">
      <c r="A19" s="3061">
        <v>18</v>
      </c>
      <c r="B19" s="3068" t="s">
        <v>3853</v>
      </c>
      <c r="C19" s="3068" t="s">
        <v>3070</v>
      </c>
      <c r="D19" s="3061" t="s">
        <v>3975</v>
      </c>
      <c r="E19" s="3061" t="s">
        <v>3151</v>
      </c>
      <c r="F19" s="3061">
        <v>67.63</v>
      </c>
      <c r="G19" s="3061">
        <v>45086.67</v>
      </c>
      <c r="H19" s="3068">
        <v>1.1000000000000001</v>
      </c>
      <c r="I19" s="3066">
        <f t="shared" si="0"/>
        <v>49595.337</v>
      </c>
      <c r="J19" s="3352"/>
      <c r="K19" s="3061"/>
      <c r="L19" s="3015"/>
      <c r="M19" s="3015"/>
    </row>
    <row r="20" spans="1:13" ht="15">
      <c r="A20" s="3061">
        <v>19</v>
      </c>
      <c r="B20" s="3065" t="s">
        <v>3624</v>
      </c>
      <c r="C20" s="3065" t="s">
        <v>3081</v>
      </c>
      <c r="D20" s="3061" t="s">
        <v>3990</v>
      </c>
      <c r="E20" s="3061" t="s">
        <v>3153</v>
      </c>
      <c r="F20" s="3061">
        <v>44.24</v>
      </c>
      <c r="G20" s="3061">
        <v>29491</v>
      </c>
      <c r="H20" s="3065">
        <v>1</v>
      </c>
      <c r="I20" s="3066">
        <f t="shared" si="0"/>
        <v>29491</v>
      </c>
      <c r="J20" s="3061" t="s">
        <v>4012</v>
      </c>
      <c r="K20" s="3061"/>
      <c r="L20" s="3015"/>
      <c r="M20" s="3015"/>
    </row>
    <row r="21" spans="1:13">
      <c r="A21" s="3061"/>
      <c r="B21" s="3061" t="s">
        <v>3127</v>
      </c>
      <c r="C21" s="3062"/>
      <c r="D21" s="3061"/>
      <c r="E21" s="3061"/>
      <c r="F21" s="3061"/>
      <c r="G21" s="3061"/>
      <c r="H21" s="3061"/>
      <c r="I21" s="3063"/>
    </row>
  </sheetData>
  <mergeCells count="4">
    <mergeCell ref="J2:J8"/>
    <mergeCell ref="J11:J12"/>
    <mergeCell ref="J13:J14"/>
    <mergeCell ref="J17:J19"/>
  </mergeCells>
  <phoneticPr fontId="142"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E23" sqref="E23"/>
    </sheetView>
  </sheetViews>
  <sheetFormatPr baseColWidth="10" defaultColWidth="9" defaultRowHeight="14"/>
  <cols>
    <col min="1" max="1" width="3.5" style="1015" customWidth="1"/>
    <col min="2" max="9" width="10" style="1015" customWidth="1"/>
    <col min="10" max="16384" width="9" style="1015"/>
  </cols>
  <sheetData>
    <row r="36" spans="1:9">
      <c r="A36" s="1014" t="s">
        <v>818</v>
      </c>
      <c r="B36" s="1014" t="s">
        <v>819</v>
      </c>
    </row>
    <row r="37" spans="1:9" ht="27.75" customHeight="1">
      <c r="A37" s="1014"/>
      <c r="B37" s="3153" t="str">
        <f>项目基本情况!B1</f>
        <v>出让国有建设用地使用权房地产市场价值预评估</v>
      </c>
      <c r="C37" s="3153"/>
      <c r="D37" s="3153"/>
      <c r="E37" s="3153"/>
      <c r="F37" s="3153"/>
      <c r="G37" s="3153"/>
      <c r="H37" s="3153"/>
      <c r="I37" s="3153"/>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ht="16">
      <c r="A1" s="3353" t="s">
        <v>0</v>
      </c>
      <c r="B1" s="3353" t="s">
        <v>4</v>
      </c>
      <c r="C1" s="3353" t="s">
        <v>5</v>
      </c>
      <c r="D1" s="3354" t="s">
        <v>53</v>
      </c>
      <c r="E1" s="3354" t="s">
        <v>54</v>
      </c>
      <c r="F1" s="3354"/>
      <c r="G1" s="3354"/>
      <c r="H1" s="3354"/>
      <c r="I1" s="3354"/>
      <c r="J1" s="3354"/>
      <c r="K1" s="3354"/>
      <c r="L1" s="3354"/>
      <c r="M1" s="3354"/>
    </row>
    <row r="2" spans="1:13" ht="27" customHeight="1">
      <c r="A2" s="3353"/>
      <c r="B2" s="3353"/>
      <c r="C2" s="3353"/>
      <c r="D2" s="3354"/>
      <c r="E2" s="3354" t="s">
        <v>37</v>
      </c>
      <c r="F2" s="3354" t="s">
        <v>38</v>
      </c>
      <c r="G2" s="3354"/>
      <c r="H2" s="3354"/>
      <c r="I2" s="3354"/>
      <c r="J2" s="3354" t="s">
        <v>39</v>
      </c>
      <c r="K2" s="3354"/>
      <c r="L2" s="3354"/>
      <c r="M2" s="3354"/>
    </row>
    <row r="3" spans="1:13" ht="34">
      <c r="A3" s="3353"/>
      <c r="B3" s="3353"/>
      <c r="C3" s="3353"/>
      <c r="D3" s="3354"/>
      <c r="E3" s="3354"/>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4" t="s">
        <v>55</v>
      </c>
      <c r="B9" s="3354"/>
      <c r="C9" s="33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FF00"/>
    <pageSetUpPr fitToPage="1"/>
  </sheetPr>
  <dimension ref="A1:S33"/>
  <sheetViews>
    <sheetView view="pageBreakPreview" zoomScale="90" zoomScaleNormal="100" zoomScaleSheetLayoutView="90" workbookViewId="0">
      <selection activeCell="F31" sqref="F31"/>
    </sheetView>
  </sheetViews>
  <sheetFormatPr baseColWidth="10" defaultColWidth="9.1640625" defaultRowHeight="14"/>
  <cols>
    <col min="1" max="1" width="12.1640625" style="2224" customWidth="1"/>
    <col min="2" max="2" width="10.1640625" style="2224" customWidth="1"/>
    <col min="3" max="3" width="18.5" style="2224" customWidth="1"/>
    <col min="4" max="4" width="11.6640625" style="2224" customWidth="1"/>
    <col min="5" max="5" width="13.33203125" style="2224" customWidth="1"/>
    <col min="6" max="8" width="11.5" style="2224" customWidth="1"/>
    <col min="9" max="9" width="11.1640625" style="2224" customWidth="1"/>
    <col min="10" max="10" width="3.1640625" style="2224" customWidth="1"/>
    <col min="11" max="16" width="10" style="2224" customWidth="1"/>
    <col min="17" max="17" width="2.6640625" style="2224" customWidth="1"/>
    <col min="18" max="18" width="9.33203125" style="2224" bestFit="1" customWidth="1"/>
    <col min="19" max="19" width="10.5" style="2224" bestFit="1" customWidth="1"/>
    <col min="20" max="16384" width="9.1640625" style="2224"/>
  </cols>
  <sheetData>
    <row r="1" spans="1:16" ht="18">
      <c r="A1" s="2223" t="s">
        <v>1933</v>
      </c>
      <c r="B1" s="1392"/>
      <c r="C1" s="1392"/>
      <c r="D1" s="1392"/>
      <c r="E1" s="1392"/>
      <c r="F1" s="1392"/>
      <c r="G1" s="1392"/>
      <c r="H1" s="1392"/>
      <c r="I1" s="1392"/>
      <c r="J1" s="1392"/>
      <c r="K1" s="1392"/>
      <c r="L1" s="1392"/>
      <c r="M1" s="1392"/>
      <c r="N1" s="1392"/>
      <c r="O1" s="1392"/>
      <c r="P1" s="1392"/>
    </row>
    <row r="2" spans="1:16">
      <c r="A2" s="3364" t="s">
        <v>1934</v>
      </c>
      <c r="B2" s="3364"/>
      <c r="C2" s="3364"/>
      <c r="D2" s="967" t="s">
        <v>1910</v>
      </c>
      <c r="E2" s="2225" t="s">
        <v>1911</v>
      </c>
      <c r="F2" s="1392"/>
      <c r="G2" s="2226"/>
      <c r="H2" s="2227"/>
      <c r="I2" s="2228" t="s">
        <v>1935</v>
      </c>
      <c r="J2" s="1392"/>
      <c r="K2" s="1392"/>
      <c r="L2" s="1392"/>
      <c r="M2" s="1392"/>
      <c r="N2" s="1427"/>
      <c r="O2" s="1392"/>
      <c r="P2" s="1392"/>
    </row>
    <row r="3" spans="1:16" ht="15" thickBot="1">
      <c r="A3" s="3365" t="s">
        <v>1908</v>
      </c>
      <c r="B3" s="3365"/>
      <c r="C3" s="3365"/>
      <c r="D3" s="46">
        <f>'数据-基础表'!AY6</f>
        <v>535778.54</v>
      </c>
      <c r="E3" s="46">
        <f>'数据-基础表'!AZ5</f>
        <v>993873.23100000003</v>
      </c>
      <c r="F3" s="1392"/>
      <c r="G3" s="1399"/>
      <c r="H3" s="1247" t="s">
        <v>1909</v>
      </c>
      <c r="I3" s="55">
        <f>ROUND('数据-基础表'!B3/'数据-基础表'!A3,2)</f>
        <v>1.86</v>
      </c>
      <c r="J3" s="1392"/>
      <c r="K3" s="1392"/>
      <c r="L3" s="1392"/>
      <c r="M3" s="1392"/>
      <c r="N3" s="1427"/>
      <c r="O3" s="1392"/>
      <c r="P3" s="1392"/>
    </row>
    <row r="4" spans="1:16">
      <c r="A4" s="3366"/>
      <c r="B4" s="3367"/>
      <c r="C4" s="3368"/>
      <c r="D4" s="2229" t="s">
        <v>1910</v>
      </c>
      <c r="E4" s="2230" t="s">
        <v>1911</v>
      </c>
      <c r="F4" s="1392"/>
      <c r="G4" s="2231" t="s">
        <v>1936</v>
      </c>
      <c r="H4" s="1247" t="s">
        <v>1916</v>
      </c>
      <c r="I4" s="55">
        <f>ROUND(SUMIF('数据-基础表'!I9:AS9,"地上",'数据-基础表'!I5:AS5)/'数据-基础表'!A3,2)</f>
        <v>1.02</v>
      </c>
      <c r="J4" s="1392"/>
      <c r="K4" s="1392"/>
      <c r="L4" s="1392"/>
      <c r="M4" s="1392"/>
      <c r="N4" s="1427"/>
      <c r="O4" s="1392"/>
      <c r="P4" s="1392"/>
    </row>
    <row r="5" spans="1:16">
      <c r="A5" s="47" t="s">
        <v>1912</v>
      </c>
      <c r="B5" s="3369" t="s">
        <v>1913</v>
      </c>
      <c r="C5" s="3369"/>
      <c r="D5" s="48">
        <f>ROUND($D$3*E5/$E$3,2)</f>
        <v>275343.18</v>
      </c>
      <c r="E5" s="49">
        <f>SUMIF('数据-基础表'!$11:$11,"住宅",'数据-基础表'!$5:$5)</f>
        <v>510763.67099999991</v>
      </c>
      <c r="F5" s="1392"/>
      <c r="G5" s="1399"/>
      <c r="H5" s="1247" t="s">
        <v>1909</v>
      </c>
      <c r="I5" s="55">
        <f>ROUND(E31/D31,2)</f>
        <v>1.86</v>
      </c>
      <c r="J5" s="1392"/>
      <c r="K5" s="1392"/>
      <c r="L5" s="1392"/>
      <c r="M5" s="1392"/>
      <c r="N5" s="1392"/>
      <c r="O5" s="1392"/>
      <c r="P5" s="1392"/>
    </row>
    <row r="6" spans="1:16" ht="15" thickBot="1">
      <c r="A6" s="2232"/>
      <c r="B6" s="3369" t="s">
        <v>1914</v>
      </c>
      <c r="C6" s="3369"/>
      <c r="D6" s="48">
        <f>ROUND($D$3*E6/$E$3,2)</f>
        <v>260435.36</v>
      </c>
      <c r="E6" s="49">
        <f>E3-E5</f>
        <v>483109.56000000011</v>
      </c>
      <c r="F6" s="1392"/>
      <c r="G6" s="2233" t="s">
        <v>1915</v>
      </c>
      <c r="H6" s="1399" t="s">
        <v>1916</v>
      </c>
      <c r="I6" s="939">
        <f>ROUND(F31/D31,2)</f>
        <v>0.99</v>
      </c>
      <c r="J6" s="1392"/>
      <c r="K6" s="1392"/>
      <c r="L6" s="1392"/>
      <c r="M6" s="1392"/>
      <c r="N6" s="1392"/>
      <c r="O6" s="1392"/>
      <c r="P6" s="1392"/>
    </row>
    <row r="7" spans="1:16">
      <c r="A7" s="3361"/>
      <c r="B7" s="3362"/>
      <c r="C7" s="3363"/>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279564.84999999998</v>
      </c>
      <c r="E8" s="51">
        <f>SUMIF('数据-基础表'!BB10:BK10,"地上",'数据-基础表'!BB5:BK5)</f>
        <v>518594.9009999999</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251073.06</v>
      </c>
      <c r="E12" s="51">
        <f>SUMPRODUCT(('数据-基础表'!BB10:BK10="地下")*('数据-基础表'!BB11:BK11="仓储")*('数据-基础表'!BB5:BK5))</f>
        <v>465742.42000000004</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1926</v>
      </c>
      <c r="D16" s="50">
        <f>SUM(D8:D15)</f>
        <v>530637.90999999992</v>
      </c>
      <c r="E16" s="53">
        <f>SUM(E8:E15)</f>
        <v>984337.321</v>
      </c>
      <c r="F16" s="1392"/>
      <c r="G16" s="2235"/>
      <c r="H16" s="2238" t="s">
        <v>1938</v>
      </c>
      <c r="I16" s="2239"/>
      <c r="J16" s="1392"/>
      <c r="K16" s="3358" t="s">
        <v>1938</v>
      </c>
      <c r="L16" s="3359"/>
      <c r="M16" s="3359"/>
      <c r="N16" s="3359"/>
      <c r="O16" s="3359"/>
      <c r="P16" s="3360"/>
    </row>
    <row r="17" spans="1:19">
      <c r="A17" s="2240" t="s">
        <v>1939</v>
      </c>
      <c r="B17" s="2241" t="s">
        <v>1940</v>
      </c>
      <c r="C17" s="2242" t="s">
        <v>1941</v>
      </c>
      <c r="D17" s="2243" t="s">
        <v>1929</v>
      </c>
      <c r="E17" s="2244" t="s">
        <v>1930</v>
      </c>
      <c r="F17" s="2245"/>
      <c r="G17" s="2246"/>
      <c r="H17" s="2247" t="s">
        <v>1942</v>
      </c>
      <c r="I17" s="2248" t="s">
        <v>1927</v>
      </c>
      <c r="J17" s="1392"/>
      <c r="K17" s="3355" t="s">
        <v>1943</v>
      </c>
      <c r="L17" s="3356"/>
      <c r="M17" s="3357"/>
      <c r="N17" s="3355" t="s">
        <v>1944</v>
      </c>
      <c r="O17" s="3356"/>
      <c r="P17" s="3357"/>
      <c r="R17" s="2226" t="s">
        <v>1945</v>
      </c>
      <c r="S17" s="64"/>
    </row>
    <row r="18" spans="1:19">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258" t="str">
        <f>抵押物汇总!X4</f>
        <v>高层住宅</v>
      </c>
      <c r="D19" s="48">
        <f>ROUND($D$3*E19/$E$3,2)</f>
        <v>63829.279999999999</v>
      </c>
      <c r="E19" s="56">
        <f t="shared" ref="E19:E26" si="1">SUM(F19:G19)</f>
        <v>118403.795</v>
      </c>
      <c r="F19" s="57">
        <f>'数据-基础表'!BB13</f>
        <v>118403.795</v>
      </c>
      <c r="G19" s="58"/>
      <c r="H19" s="723">
        <f>ROUND($D$3*I19/$E$3,2)</f>
        <v>618.35</v>
      </c>
      <c r="I19" s="51">
        <f t="shared" ref="I19:I26" si="2">IF($I$17="自定义",P19,M19)</f>
        <v>1147.05</v>
      </c>
      <c r="J19" s="1392"/>
      <c r="K19" s="1391">
        <f t="shared" ref="K19:K26" si="3">ROUND(E$28*E19/E$27,2)</f>
        <v>1147.05</v>
      </c>
      <c r="L19" s="1247">
        <f t="shared" ref="L19:L26" si="4">ROUND(IF(COUNTIF(C19,"*住宅*")&gt;0,E$29*E19/E$32,0),2)</f>
        <v>0</v>
      </c>
      <c r="M19" s="1403">
        <f>K19+L19</f>
        <v>1147.05</v>
      </c>
      <c r="N19" s="2259"/>
      <c r="O19" s="2260"/>
      <c r="P19" s="1403">
        <f>N19+O19</f>
        <v>0</v>
      </c>
      <c r="R19" s="1247">
        <f t="shared" ref="R19:S26" si="5">D19+H19</f>
        <v>64447.63</v>
      </c>
      <c r="S19" s="1248">
        <f t="shared" si="5"/>
        <v>119550.845</v>
      </c>
    </row>
    <row r="20" spans="1:19">
      <c r="A20" s="2261"/>
      <c r="B20" s="50" t="s">
        <v>1956</v>
      </c>
      <c r="C20" s="2258" t="str">
        <f>抵押物汇总!Y4</f>
        <v>别墅住宅</v>
      </c>
      <c r="D20" s="48">
        <f t="shared" ref="D20:D26" si="6">ROUND($D$3*E20/$E$3,2)</f>
        <v>211513.9</v>
      </c>
      <c r="E20" s="56">
        <f t="shared" si="1"/>
        <v>392359.87599999993</v>
      </c>
      <c r="F20" s="57">
        <f>'数据-基础表'!BC13</f>
        <v>392359.87599999993</v>
      </c>
      <c r="G20" s="58"/>
      <c r="H20" s="723">
        <f t="shared" ref="H20:H26" si="7">ROUND($D$3*I20/$E$3,2)</f>
        <v>2049.0700000000002</v>
      </c>
      <c r="I20" s="51">
        <f t="shared" si="2"/>
        <v>3801.04</v>
      </c>
      <c r="J20" s="1392"/>
      <c r="K20" s="1391">
        <f t="shared" si="3"/>
        <v>3801.04</v>
      </c>
      <c r="L20" s="1247">
        <f t="shared" si="4"/>
        <v>0</v>
      </c>
      <c r="M20" s="1403">
        <f t="shared" ref="M20:M26" si="8">K20+L20</f>
        <v>3801.04</v>
      </c>
      <c r="N20" s="2259"/>
      <c r="O20" s="2260"/>
      <c r="P20" s="1403">
        <f t="shared" ref="P20:P26" si="9">N20+O20</f>
        <v>0</v>
      </c>
      <c r="R20" s="1247">
        <f t="shared" si="5"/>
        <v>213562.97</v>
      </c>
      <c r="S20" s="1248">
        <f t="shared" si="5"/>
        <v>396160.91599999991</v>
      </c>
    </row>
    <row r="21" spans="1:19">
      <c r="A21" s="2261"/>
      <c r="B21" s="50" t="s">
        <v>1956</v>
      </c>
      <c r="C21" s="2258" t="s">
        <v>4277</v>
      </c>
      <c r="D21" s="48">
        <f t="shared" si="6"/>
        <v>4221.67</v>
      </c>
      <c r="E21" s="56">
        <f t="shared" si="1"/>
        <v>7831.23</v>
      </c>
      <c r="F21" s="57">
        <f>'数据-基础表'!BD13</f>
        <v>7831.23</v>
      </c>
      <c r="G21" s="58"/>
      <c r="H21" s="723">
        <f t="shared" si="7"/>
        <v>40.9</v>
      </c>
      <c r="I21" s="51">
        <f t="shared" si="2"/>
        <v>75.87</v>
      </c>
      <c r="J21" s="1392"/>
      <c r="K21" s="1391">
        <f t="shared" si="3"/>
        <v>75.87</v>
      </c>
      <c r="L21" s="1247">
        <f t="shared" si="4"/>
        <v>0</v>
      </c>
      <c r="M21" s="1403">
        <f t="shared" si="8"/>
        <v>75.87</v>
      </c>
      <c r="N21" s="2259"/>
      <c r="O21" s="2260"/>
      <c r="P21" s="1403">
        <f t="shared" si="9"/>
        <v>0</v>
      </c>
      <c r="R21" s="1247">
        <f t="shared" si="5"/>
        <v>4262.57</v>
      </c>
      <c r="S21" s="1248">
        <f t="shared" si="5"/>
        <v>7907.0999999999995</v>
      </c>
    </row>
    <row r="22" spans="1:19">
      <c r="A22" s="2261"/>
      <c r="B22" s="50" t="s">
        <v>1956</v>
      </c>
      <c r="C22" s="60" t="s">
        <v>4280</v>
      </c>
      <c r="D22" s="48">
        <f t="shared" si="6"/>
        <v>251073.06</v>
      </c>
      <c r="E22" s="56">
        <f t="shared" si="1"/>
        <v>465742.42000000004</v>
      </c>
      <c r="F22" s="61"/>
      <c r="G22" s="62">
        <f>'数据-基础表'!BE13</f>
        <v>465742.42000000004</v>
      </c>
      <c r="H22" s="723">
        <f t="shared" si="7"/>
        <v>2432.31</v>
      </c>
      <c r="I22" s="51">
        <f t="shared" si="2"/>
        <v>4511.95</v>
      </c>
      <c r="J22" s="1392"/>
      <c r="K22" s="1391">
        <f t="shared" si="3"/>
        <v>4511.95</v>
      </c>
      <c r="L22" s="1247">
        <f t="shared" si="4"/>
        <v>0</v>
      </c>
      <c r="M22" s="1403">
        <f t="shared" si="8"/>
        <v>4511.95</v>
      </c>
      <c r="N22" s="2259"/>
      <c r="O22" s="2260"/>
      <c r="P22" s="1403">
        <f t="shared" si="9"/>
        <v>0</v>
      </c>
      <c r="R22" s="1247">
        <f t="shared" si="5"/>
        <v>253505.37</v>
      </c>
      <c r="S22" s="1248">
        <f t="shared" si="5"/>
        <v>470254.37000000005</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1957</v>
      </c>
      <c r="D27" s="1393">
        <f>SUM(D19:D26)</f>
        <v>530637.90999999992</v>
      </c>
      <c r="E27" s="1394">
        <f>IF(SUM(E19:E26)='数据-基础表'!BA5,SUM(E19:E26),IF(F27="地上面积有误","面积有误","地下面积有误"))</f>
        <v>984337.321</v>
      </c>
      <c r="F27" s="1393">
        <f>IF(SUM(F19:F26)=E8,SUM(F19:F26),"地上面积有误")</f>
        <v>518594.9009999999</v>
      </c>
      <c r="G27" s="1395">
        <f>SUM(G19:G26)</f>
        <v>465742.42000000004</v>
      </c>
      <c r="H27" s="1396">
        <f>SUM(H19:H26)</f>
        <v>5140.63</v>
      </c>
      <c r="I27" s="1397">
        <f>SUM(I19:I26)</f>
        <v>9535.91</v>
      </c>
      <c r="J27" s="1392"/>
      <c r="K27" s="1400">
        <f>SUM(K19:K26)</f>
        <v>9535.91</v>
      </c>
      <c r="L27" s="1401">
        <f>SUM(L19:L26)</f>
        <v>0</v>
      </c>
      <c r="M27" s="1404">
        <f>SUM(M19:M26)</f>
        <v>9535.91</v>
      </c>
      <c r="N27" s="1400">
        <f t="shared" ref="N27:O27" si="10">SUM(N19:N26)</f>
        <v>0</v>
      </c>
      <c r="O27" s="1401">
        <f t="shared" si="10"/>
        <v>0</v>
      </c>
      <c r="P27" s="1402">
        <f>SUM(P19:P26)</f>
        <v>0</v>
      </c>
      <c r="R27" s="1249">
        <f>IF(SUM(R19:R26)=$D$3,SUM(R19:R26),SUM(R19:R26)&amp;"误差"&amp;ROUND(SUM(R19:R26)-$D$3,2))</f>
        <v>535778.54</v>
      </c>
      <c r="S27" s="1247">
        <f>IF(SUM(S19:S26)=$E$3,SUM(S19:S26),SUM(S19:S26)&amp;"误差"&amp;ROUND(SUM(S19:S26)-E3,2))</f>
        <v>993873.23099999991</v>
      </c>
    </row>
    <row r="28" spans="1:19">
      <c r="A28" s="2261"/>
      <c r="B28" s="50" t="s">
        <v>1958</v>
      </c>
      <c r="C28" s="1259" t="s">
        <v>1959</v>
      </c>
      <c r="D28" s="48">
        <f>ROUND($D$3*E28/$E$3,2)</f>
        <v>5140.63</v>
      </c>
      <c r="E28" s="56">
        <f>SUM(F28:G28)</f>
        <v>9535.91</v>
      </c>
      <c r="F28" s="64">
        <f>'数据-基础表'!BQ5+'数据-基础表'!BS5</f>
        <v>9535.91</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1"/>
      <c r="B30" s="50"/>
      <c r="C30" s="2266" t="s">
        <v>1957</v>
      </c>
      <c r="D30" s="1393">
        <f>SUM(D28:D29)</f>
        <v>5140.63</v>
      </c>
      <c r="E30" s="1393">
        <f>SUM(E28:E29)</f>
        <v>9535.91</v>
      </c>
      <c r="F30" s="1393">
        <f>SUM(F28:F29)</f>
        <v>9535.91</v>
      </c>
      <c r="G30" s="1395">
        <f>SUM(G28:G29)</f>
        <v>0</v>
      </c>
      <c r="H30" s="1392"/>
      <c r="I30" s="1392"/>
      <c r="J30" s="1392"/>
      <c r="K30" s="1392"/>
      <c r="L30" s="1392"/>
      <c r="M30" s="1392"/>
      <c r="N30" s="1392"/>
      <c r="O30" s="1392"/>
      <c r="P30" s="1392"/>
    </row>
    <row r="31" spans="1:19" ht="15" thickBot="1">
      <c r="A31" s="2267"/>
      <c r="B31" s="2268"/>
      <c r="C31" s="1007" t="s">
        <v>1961</v>
      </c>
      <c r="D31" s="729">
        <f>D27+D30</f>
        <v>535778.53999999992</v>
      </c>
      <c r="E31" s="729">
        <f>E27+E30</f>
        <v>993873.23100000003</v>
      </c>
      <c r="F31" s="730">
        <f>F27+F30</f>
        <v>528130.81099999987</v>
      </c>
      <c r="G31" s="731">
        <f>G27+G30</f>
        <v>465742.42000000004</v>
      </c>
      <c r="H31" s="1392"/>
      <c r="I31" s="1392"/>
      <c r="J31" s="1392"/>
      <c r="K31" s="1392"/>
      <c r="L31" s="1392"/>
      <c r="M31" s="1392"/>
      <c r="N31" s="1392"/>
      <c r="O31" s="1392"/>
      <c r="P31" s="1392"/>
    </row>
    <row r="32" spans="1:19">
      <c r="A32" s="2231"/>
      <c r="B32" s="2231" t="s">
        <v>1962</v>
      </c>
      <c r="C32" s="2231"/>
      <c r="D32" s="2231"/>
      <c r="E32" s="1274">
        <f>SUMIF(C19:C26,"*住宅*",E19:E26)</f>
        <v>518594.9009999999</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disablePrompts="1" count="2">
    <dataValidation type="list" allowBlank="1" showInputMessage="1" showErrorMessage="1" sqref="B28:B29 B19:B26" xr:uid="{00000000-0002-0000-1400-000000000000}">
      <formula1>类别</formula1>
    </dataValidation>
    <dataValidation type="list" allowBlank="1" showInputMessage="1" showErrorMessage="1" sqref="I17" xr:uid="{00000000-0002-0000-14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30" sqref="N30"/>
    </sheetView>
  </sheetViews>
  <sheetFormatPr baseColWidth="10" defaultColWidth="13.83203125" defaultRowHeight="13"/>
  <cols>
    <col min="1" max="1" width="20.83203125" style="2343" customWidth="1"/>
    <col min="2" max="2" width="12" style="2273" customWidth="1"/>
    <col min="3" max="3" width="10.83203125" style="2273" customWidth="1"/>
    <col min="4" max="4" width="9.1640625" style="2344" customWidth="1"/>
    <col min="5" max="5" width="15" style="2273" bestFit="1" customWidth="1"/>
    <col min="6" max="10" width="8.83203125" style="2273" customWidth="1"/>
    <col min="11" max="12" width="12.33203125" style="2187" customWidth="1"/>
    <col min="13" max="13" width="8.6640625" style="2273" customWidth="1"/>
    <col min="14" max="14" width="11.83203125" style="2273" customWidth="1"/>
    <col min="15" max="15" width="8.5" style="2273" customWidth="1"/>
    <col min="16" max="17" width="10.83203125" style="2273" customWidth="1"/>
    <col min="18" max="19" width="12.5" style="2273" customWidth="1"/>
    <col min="20" max="20" width="12.1640625" style="2273" customWidth="1"/>
    <col min="21" max="21" width="7.5" style="2273" customWidth="1"/>
    <col min="22" max="22" width="6.33203125" style="2273" customWidth="1"/>
    <col min="23" max="30" width="6.83203125" style="2273" customWidth="1"/>
    <col min="31" max="31" width="8" style="2273" customWidth="1"/>
    <col min="32" max="34" width="7.1640625" style="2273" customWidth="1"/>
    <col min="35" max="39" width="8" style="2273" customWidth="1"/>
    <col min="40" max="40" width="13.83203125" style="2272"/>
    <col min="41" max="41" width="11.6640625" style="2272" customWidth="1"/>
    <col min="42" max="42" width="9.83203125" style="2272" customWidth="1"/>
    <col min="43" max="67" width="13.83203125" style="2272"/>
    <col min="68" max="16384" width="13.83203125" style="2273"/>
  </cols>
  <sheetData>
    <row r="1" spans="1:67" ht="19"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6" thickBot="1">
      <c r="A2" s="2274" t="s">
        <v>1964</v>
      </c>
      <c r="B2" s="1266">
        <f>项目基本情况!D3</f>
        <v>43905</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6"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5">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
      <c r="A6" s="2304" t="str">
        <f>'数据-汇总表'!C19</f>
        <v>高层住宅</v>
      </c>
      <c r="B6" s="2305" t="str">
        <f>IF(A6=0,"","经营性")</f>
        <v>经营性</v>
      </c>
      <c r="C6" s="2306" t="s">
        <v>3120</v>
      </c>
      <c r="D6" s="1051">
        <f>SUMIF(项目基本情况!D$12:I$12,C6,项目基本情况!D$14:I$14)</f>
        <v>70</v>
      </c>
      <c r="E6" s="1048">
        <f>IF(B6="","",SUMIF(项目基本情况!D$12:I$12,C6,项目基本情况!D$13:I$13))</f>
        <v>66592</v>
      </c>
      <c r="F6" s="72">
        <f>SUMIF(项目基本情况!D$12:I$12,C6,项目基本情况!D$15:I$15)</f>
        <v>62.15</v>
      </c>
      <c r="G6" s="73">
        <f>IF(ISERROR(ROUND(POWER(1+H6,D6-F6)*(POWER(1+H6,F6)-1)/(POWER(1+H6,D6)-1),3)),0,ROUND(POWER(1+H6,D6-F6)*(POWER(1+H6,F6)-1)/(POWER(1+H6,D6)-1),3))</f>
        <v>0.98</v>
      </c>
      <c r="H6" s="802">
        <v>4.4999999999999998E-2</v>
      </c>
      <c r="I6" s="802">
        <v>0.05</v>
      </c>
      <c r="J6" s="74"/>
      <c r="K6" s="1251">
        <f>SUMIF('数据-汇总表'!C$19:C$33,A6,'数据-汇总表'!E$19:E$33)</f>
        <v>118403.795</v>
      </c>
      <c r="L6" s="803">
        <f>抵押物汇总!X32</f>
        <v>3500</v>
      </c>
      <c r="M6" s="75">
        <f t="shared" ref="M6:M14" si="0">ROUND(K6*L6/10000,0)</f>
        <v>41441</v>
      </c>
      <c r="N6" s="801">
        <v>0</v>
      </c>
      <c r="O6" s="75">
        <f>IF($N$5="成新度","——",ROUND(M6*N6,0))</f>
        <v>0</v>
      </c>
      <c r="P6" s="76">
        <f>IF($N$5="成新度","——",M6-O6)</f>
        <v>41441</v>
      </c>
      <c r="Q6" s="804">
        <v>0.1</v>
      </c>
      <c r="R6" s="77">
        <f ca="1">SUMIF('数据-汇总表'!C$19:C$33,A6,'数据-汇总表'!R$19:R$27)</f>
        <v>64447.63</v>
      </c>
      <c r="S6" s="54">
        <f>IF('数据-汇总表'!$I$17="按面积比例",SUMIF('数据-汇总表'!C$19:C$33,A6,'数据-汇总表'!K$19:K$33),SUMIF('数据-汇总表'!C$19:C$33,A6,'数据-汇总表'!N$19:N$33))</f>
        <v>1147.05</v>
      </c>
      <c r="T6" s="1443">
        <f>ROUND($L$14*S6/10000,0)</f>
        <v>321</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414413282.5</v>
      </c>
      <c r="AQ6" s="55">
        <f>ROUND($L$14*$N$14*S6/10000,0)</f>
        <v>0</v>
      </c>
      <c r="AR6" s="55">
        <f>ROUND($L$14*(1-$N$14)*S6/10000,0)</f>
        <v>321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
      <c r="A7" s="2304" t="str">
        <f>'数据-汇总表'!C20</f>
        <v>别墅住宅</v>
      </c>
      <c r="B7" s="2305" t="str">
        <f t="shared" ref="B7:B13" si="1">IF(A7=0,"","经营性")</f>
        <v>经营性</v>
      </c>
      <c r="C7" s="2306" t="s">
        <v>3120</v>
      </c>
      <c r="D7" s="1051">
        <f>SUMIF(项目基本情况!D$12:I$12,C7,项目基本情况!D$14:I$14)</f>
        <v>70</v>
      </c>
      <c r="E7" s="1048">
        <f>IF(B7="","",SUMIF(项目基本情况!D$12:I$12,C7,项目基本情况!D$13:I$13))</f>
        <v>66592</v>
      </c>
      <c r="F7" s="72">
        <f>SUMIF(项目基本情况!D$12:I$12,C7,项目基本情况!D$15:I$15)</f>
        <v>62.15</v>
      </c>
      <c r="G7" s="73">
        <f>IF(ISERROR(ROUND(POWER(1+H7,D7-F7)*(POWER(1+H7,F7)-1)/(POWER(1+H7,D7)-1),3)),0,ROUND(POWER(1+H7,D7-F7)*(POWER(1+H7,F7)-1)/(POWER(1+H7,D7)-1),3))</f>
        <v>0.98</v>
      </c>
      <c r="H7" s="802">
        <v>4.4999999999999998E-2</v>
      </c>
      <c r="I7" s="802">
        <v>0.05</v>
      </c>
      <c r="J7" s="74"/>
      <c r="K7" s="1251">
        <f>SUMIF('数据-汇总表'!C$19:C$33,A7,'数据-汇总表'!E$19:E$33)</f>
        <v>392359.87599999993</v>
      </c>
      <c r="L7" s="803">
        <f>抵押物汇总!Y32</f>
        <v>2800</v>
      </c>
      <c r="M7" s="75">
        <f t="shared" si="0"/>
        <v>109861</v>
      </c>
      <c r="N7" s="801">
        <v>0</v>
      </c>
      <c r="O7" s="75">
        <f t="shared" ref="O7:O14" si="2">IF($N$5="成新度","——",ROUND(M7*N7,0))</f>
        <v>0</v>
      </c>
      <c r="P7" s="76">
        <f t="shared" ref="P7:P14" si="3">IF($N$5="成新度","——",M7-O7)</f>
        <v>109861</v>
      </c>
      <c r="Q7" s="804">
        <v>0.2</v>
      </c>
      <c r="R7" s="77">
        <f ca="1">SUMIF('数据-汇总表'!C$19:C$33,A7,'数据-汇总表'!R$19:R$27)</f>
        <v>213562.97</v>
      </c>
      <c r="S7" s="54">
        <f>IF('数据-汇总表'!$I$17="按面积比例",SUMIF('数据-汇总表'!C$19:C$33,A7,'数据-汇总表'!K$19:K$33),SUMIF('数据-汇总表'!C$19:C$33,A7,'数据-汇总表'!N$19:N$33))</f>
        <v>3801.04</v>
      </c>
      <c r="T7" s="1443">
        <f t="shared" ref="T7:T13" si="4">ROUND($L$14*S7/10000,0)</f>
        <v>1064</v>
      </c>
      <c r="U7" s="78"/>
      <c r="V7" s="79"/>
      <c r="W7" s="79"/>
      <c r="X7" s="1261"/>
      <c r="Y7" s="80"/>
      <c r="Z7" s="81"/>
      <c r="AA7" s="74"/>
      <c r="AB7" s="74"/>
      <c r="AC7" s="1261"/>
      <c r="AD7" s="82"/>
      <c r="AE7" s="1262">
        <f t="shared" ref="AE7:AE13" ca="1" si="5">IF(AN7="",0,SUMIF(INDIRECT("'"&amp;AN7&amp;"'"&amp;"!E:E"),$AE$5,INDIRECT("'"&amp;AN7&amp;"'"&amp;"!F:F")))</f>
        <v>0</v>
      </c>
      <c r="AF7" s="1803"/>
      <c r="AG7" s="147">
        <f t="shared" ref="AG7:AG13" si="6">IF(AF7="",0,AE7-AF7)</f>
        <v>0</v>
      </c>
      <c r="AH7" s="83"/>
      <c r="AI7" s="85"/>
      <c r="AJ7" s="86"/>
      <c r="AK7" s="87"/>
      <c r="AL7" s="88"/>
      <c r="AM7" s="89"/>
      <c r="AN7" s="2307"/>
      <c r="AO7" s="55" t="e">
        <f t="shared" ref="AO7:AO13" ca="1" si="7">SUMIF(INDIRECT("'"&amp;AN7&amp;"'"&amp;"!A:A"),"总价",INDIRECT("'"&amp;AN7&amp;"'"&amp;"!B:B"))</f>
        <v>#REF!</v>
      </c>
      <c r="AP7" s="2308">
        <f t="shared" ref="AP7:AP13" si="8">IF(C7="住宅",K7*L7,0)</f>
        <v>1098607652.7999997</v>
      </c>
      <c r="AQ7" s="55">
        <f t="shared" ref="AQ7:AQ13" si="9">ROUND($L$14*$N$14*S7/10000,0)</f>
        <v>0</v>
      </c>
      <c r="AR7" s="55">
        <f t="shared" ref="AR7:AR13" si="10">ROUND($L$14*(1-$N$14)*S7/10000,0)</f>
        <v>1064</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
      <c r="A8" s="2304" t="str">
        <f>'数据-汇总表'!C21</f>
        <v>住宅地块-商业</v>
      </c>
      <c r="B8" s="2305" t="str">
        <f t="shared" si="1"/>
        <v>经营性</v>
      </c>
      <c r="C8" s="2306" t="s">
        <v>1372</v>
      </c>
      <c r="D8" s="1051">
        <f>SUMIF(项目基本情况!D$12:I$12,C8,项目基本情况!D$14:I$14)</f>
        <v>40</v>
      </c>
      <c r="E8" s="1048">
        <f>IF(B8="","",SUMIF(项目基本情况!D$12:I$12,C8,项目基本情况!D$13:I$13))</f>
        <v>55635</v>
      </c>
      <c r="F8" s="72">
        <f>SUMIF(项目基本情况!D$12:I$12,C8,项目基本情况!D$15:I$15)</f>
        <v>32.130000000000003</v>
      </c>
      <c r="G8" s="73">
        <f t="shared" ref="G8:G11" si="11">IF(ISERROR(ROUND(POWER(1+H8,D8-F8)*(POWER(1+H8,F8)-1)/(POWER(1+H8,D8)-1),3)),0,ROUND(POWER(1+H8,D8-F8)*(POWER(1+H8,F8)-1)/(POWER(1+H8,D8)-1),3))</f>
        <v>0.92200000000000004</v>
      </c>
      <c r="H8" s="802">
        <v>0.05</v>
      </c>
      <c r="I8" s="802">
        <v>5.5E-2</v>
      </c>
      <c r="J8" s="74"/>
      <c r="K8" s="1251">
        <f>SUMIF('数据-汇总表'!C$19:C$33,A8,'数据-汇总表'!E$19:E$33)</f>
        <v>7831.23</v>
      </c>
      <c r="L8" s="803">
        <v>2800</v>
      </c>
      <c r="M8" s="75">
        <f>ROUND(K8*L8/10000,0)</f>
        <v>2193</v>
      </c>
      <c r="N8" s="801">
        <v>0</v>
      </c>
      <c r="O8" s="75">
        <f t="shared" si="2"/>
        <v>0</v>
      </c>
      <c r="P8" s="76">
        <f t="shared" si="3"/>
        <v>2193</v>
      </c>
      <c r="Q8" s="804">
        <v>0.1</v>
      </c>
      <c r="R8" s="77">
        <f ca="1">SUMIF('数据-汇总表'!C$19:C$33,A8,'数据-汇总表'!R$19:R$27)</f>
        <v>4262.57</v>
      </c>
      <c r="S8" s="54">
        <f>IF('数据-汇总表'!$I$17="按面积比例",SUMIF('数据-汇总表'!C$19:C$33,A8,'数据-汇总表'!K$19:K$33),SUMIF('数据-汇总表'!C$19:C$33,A8,'数据-汇总表'!N$19:N$33))</f>
        <v>75.87</v>
      </c>
      <c r="T8" s="1443">
        <f t="shared" si="4"/>
        <v>21</v>
      </c>
      <c r="U8" s="805"/>
      <c r="V8" s="806"/>
      <c r="W8" s="806"/>
      <c r="X8" s="1261"/>
      <c r="Y8" s="807"/>
      <c r="Z8" s="81"/>
      <c r="AA8" s="74"/>
      <c r="AB8" s="74"/>
      <c r="AC8" s="1261"/>
      <c r="AD8" s="82"/>
      <c r="AE8" s="1262">
        <f t="shared" ca="1" si="5"/>
        <v>0</v>
      </c>
      <c r="AF8" s="1803"/>
      <c r="AG8" s="147">
        <f t="shared" si="6"/>
        <v>0</v>
      </c>
      <c r="AH8" s="808"/>
      <c r="AI8" s="85"/>
      <c r="AJ8" s="86"/>
      <c r="AK8" s="809"/>
      <c r="AL8" s="810"/>
      <c r="AM8" s="811"/>
      <c r="AN8" s="2307"/>
      <c r="AO8" s="55" t="e">
        <f t="shared" ca="1" si="7"/>
        <v>#REF!</v>
      </c>
      <c r="AP8" s="2308">
        <f t="shared" si="8"/>
        <v>0</v>
      </c>
      <c r="AQ8" s="55">
        <f t="shared" si="9"/>
        <v>0</v>
      </c>
      <c r="AR8" s="55">
        <f t="shared" si="10"/>
        <v>21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
      <c r="A9" s="2304" t="str">
        <f>'数据-汇总表'!C22</f>
        <v>地下仓储</v>
      </c>
      <c r="B9" s="2305" t="str">
        <f t="shared" si="1"/>
        <v>经营性</v>
      </c>
      <c r="C9" s="2306"/>
      <c r="D9" s="1051">
        <f>SUMIF(项目基本情况!D$12:I$12,C9,项目基本情况!D$14:I$14)</f>
        <v>0</v>
      </c>
      <c r="E9" s="1048">
        <f>IF(B9="","",SUMIF(项目基本情况!D$12:I$12,C9,项目基本情况!D$13:I$13))</f>
        <v>0</v>
      </c>
      <c r="F9" s="72">
        <f>SUMIF(项目基本情况!D$12:I$12,C9,项目基本情况!D$15:I$15)</f>
        <v>0</v>
      </c>
      <c r="G9" s="73">
        <f t="shared" si="11"/>
        <v>0</v>
      </c>
      <c r="H9" s="74">
        <v>4.4999999999999998E-2</v>
      </c>
      <c r="I9" s="74">
        <v>0.05</v>
      </c>
      <c r="J9" s="74"/>
      <c r="K9" s="1251">
        <f>SUMIF('数据-汇总表'!C$19:C$33,A9,'数据-汇总表'!E$19:E$33)</f>
        <v>465742.42000000004</v>
      </c>
      <c r="L9" s="803">
        <f>抵押物汇总!AC32</f>
        <v>2800</v>
      </c>
      <c r="M9" s="75">
        <f t="shared" si="0"/>
        <v>130408</v>
      </c>
      <c r="N9" s="801">
        <v>0</v>
      </c>
      <c r="O9" s="75">
        <f t="shared" si="2"/>
        <v>0</v>
      </c>
      <c r="P9" s="76">
        <f t="shared" si="3"/>
        <v>130408</v>
      </c>
      <c r="Q9" s="3144"/>
      <c r="R9" s="77">
        <f ca="1">SUMIF('数据-汇总表'!C$19:C$33,A9,'数据-汇总表'!R$19:R$27)</f>
        <v>253505.37</v>
      </c>
      <c r="S9" s="54">
        <f>IF('数据-汇总表'!$I$17="按面积比例",SUMIF('数据-汇总表'!C$19:C$33,A9,'数据-汇总表'!K$19:K$33),SUMIF('数据-汇总表'!C$19:C$33,A9,'数据-汇总表'!N$19:N$33))</f>
        <v>4511.95</v>
      </c>
      <c r="T9" s="1443">
        <f t="shared" si="4"/>
        <v>1263</v>
      </c>
      <c r="U9" s="78"/>
      <c r="V9" s="79"/>
      <c r="W9" s="79"/>
      <c r="X9" s="1261"/>
      <c r="Y9" s="80"/>
      <c r="Z9" s="81"/>
      <c r="AA9" s="74"/>
      <c r="AB9" s="74"/>
      <c r="AC9" s="1261"/>
      <c r="AD9" s="82"/>
      <c r="AE9" s="1262">
        <f t="shared" ca="1" si="5"/>
        <v>0</v>
      </c>
      <c r="AF9" s="1803"/>
      <c r="AG9" s="147">
        <f t="shared" si="6"/>
        <v>0</v>
      </c>
      <c r="AH9" s="83"/>
      <c r="AI9" s="85"/>
      <c r="AJ9" s="86"/>
      <c r="AK9" s="87"/>
      <c r="AL9" s="88"/>
      <c r="AM9" s="89"/>
      <c r="AN9" s="2307"/>
      <c r="AO9" s="55" t="e">
        <f t="shared" ca="1" si="7"/>
        <v>#REF!</v>
      </c>
      <c r="AP9" s="2308">
        <f t="shared" si="8"/>
        <v>0</v>
      </c>
      <c r="AQ9" s="55">
        <f t="shared" si="9"/>
        <v>0</v>
      </c>
      <c r="AR9" s="55">
        <f t="shared" si="10"/>
        <v>1263</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11"/>
        <v>0</v>
      </c>
      <c r="H10" s="74"/>
      <c r="I10" s="74"/>
      <c r="J10" s="74"/>
      <c r="K10" s="1251">
        <f>SUMIF('数据-汇总表'!C$19:C$33,A10,'数据-汇总表'!E$19:E$33)</f>
        <v>0</v>
      </c>
      <c r="L10" s="803"/>
      <c r="M10" s="75">
        <f t="shared" si="0"/>
        <v>0</v>
      </c>
      <c r="N10" s="801"/>
      <c r="O10" s="75">
        <f t="shared" si="2"/>
        <v>0</v>
      </c>
      <c r="P10" s="76">
        <f t="shared" si="3"/>
        <v>0</v>
      </c>
      <c r="Q10" s="90"/>
      <c r="R10" s="77">
        <f ca="1">SUMIF('数据-汇总表'!C$19:C$33,A10,'数据-汇总表'!R$19:R$27)</f>
        <v>0</v>
      </c>
      <c r="S10" s="54">
        <f>IF('数据-汇总表'!$I$17="按面积比例",SUMIF('数据-汇总表'!C$19:C$33,A10,'数据-汇总表'!K$19:K$33),SUMIF('数据-汇总表'!C$19:C$33,A10,'数据-汇总表'!N$19:N$33))</f>
        <v>0</v>
      </c>
      <c r="T10" s="1443">
        <f t="shared" si="4"/>
        <v>0</v>
      </c>
      <c r="U10" s="78"/>
      <c r="V10" s="79"/>
      <c r="W10" s="79"/>
      <c r="X10" s="1261"/>
      <c r="Y10" s="80"/>
      <c r="Z10" s="81"/>
      <c r="AA10" s="74"/>
      <c r="AB10" s="74"/>
      <c r="AC10" s="1261"/>
      <c r="AD10" s="82"/>
      <c r="AE10" s="1262">
        <f t="shared" ca="1" si="5"/>
        <v>0</v>
      </c>
      <c r="AF10" s="1803"/>
      <c r="AG10" s="147">
        <f t="shared" si="6"/>
        <v>0</v>
      </c>
      <c r="AH10" s="83"/>
      <c r="AI10" s="85"/>
      <c r="AJ10" s="86"/>
      <c r="AK10" s="87"/>
      <c r="AL10" s="88"/>
      <c r="AM10" s="89"/>
      <c r="AN10" s="2307"/>
      <c r="AO10" s="55" t="e">
        <f t="shared" ca="1" si="7"/>
        <v>#REF!</v>
      </c>
      <c r="AP10" s="2308">
        <f t="shared" si="8"/>
        <v>0</v>
      </c>
      <c r="AQ10" s="55">
        <f t="shared" si="9"/>
        <v>0</v>
      </c>
      <c r="AR10" s="55">
        <f t="shared" si="10"/>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11"/>
        <v>0</v>
      </c>
      <c r="H11" s="74"/>
      <c r="I11" s="74"/>
      <c r="J11" s="74"/>
      <c r="K11" s="1251">
        <f>SUMIF('数据-汇总表'!C$19:C$33,A11,'数据-汇总表'!E$19:E$33)</f>
        <v>0</v>
      </c>
      <c r="L11" s="91"/>
      <c r="M11" s="75">
        <f t="shared" si="0"/>
        <v>0</v>
      </c>
      <c r="N11" s="92"/>
      <c r="O11" s="75">
        <f t="shared" si="2"/>
        <v>0</v>
      </c>
      <c r="P11" s="76">
        <f t="shared" si="3"/>
        <v>0</v>
      </c>
      <c r="Q11" s="90"/>
      <c r="R11" s="77">
        <f ca="1">SUMIF('数据-汇总表'!C$19:C$33,A11,'数据-汇总表'!R$19:R$27)</f>
        <v>0</v>
      </c>
      <c r="S11" s="54">
        <f>IF('数据-汇总表'!$I$17="按面积比例",SUMIF('数据-汇总表'!C$19:C$33,A11,'数据-汇总表'!K$19:K$33),SUMIF('数据-汇总表'!C$19:C$33,A11,'数据-汇总表'!N$19:N$33))</f>
        <v>0</v>
      </c>
      <c r="T11" s="1443">
        <f t="shared" si="4"/>
        <v>0</v>
      </c>
      <c r="U11" s="83"/>
      <c r="V11" s="74"/>
      <c r="W11" s="74"/>
      <c r="X11" s="1261"/>
      <c r="Y11" s="80"/>
      <c r="Z11" s="93"/>
      <c r="AA11" s="74"/>
      <c r="AB11" s="74"/>
      <c r="AC11" s="1261"/>
      <c r="AD11" s="82"/>
      <c r="AE11" s="1262">
        <f t="shared" ca="1" si="5"/>
        <v>0</v>
      </c>
      <c r="AF11" s="1803"/>
      <c r="AG11" s="147">
        <f t="shared" si="6"/>
        <v>0</v>
      </c>
      <c r="AH11" s="83"/>
      <c r="AI11" s="85"/>
      <c r="AJ11" s="86"/>
      <c r="AK11" s="94"/>
      <c r="AL11" s="95"/>
      <c r="AM11" s="96"/>
      <c r="AN11" s="2307"/>
      <c r="AO11" s="55" t="e">
        <f t="shared" ca="1" si="7"/>
        <v>#REF!</v>
      </c>
      <c r="AP11" s="2308">
        <f t="shared" si="8"/>
        <v>0</v>
      </c>
      <c r="AQ11" s="55">
        <f t="shared" si="9"/>
        <v>0</v>
      </c>
      <c r="AR11" s="55">
        <f t="shared" si="10"/>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2"/>
        <v>0</v>
      </c>
      <c r="P12" s="76">
        <f t="shared" si="3"/>
        <v>0</v>
      </c>
      <c r="Q12" s="90"/>
      <c r="R12" s="77">
        <f ca="1">SUMIF('数据-汇总表'!C$19:C$33,A12,'数据-汇总表'!R$19:R$27)</f>
        <v>0</v>
      </c>
      <c r="S12" s="54">
        <f>IF('数据-汇总表'!$I$17="按面积比例",SUMIF('数据-汇总表'!C$19:C$33,A12,'数据-汇总表'!K$19:K$33),SUMIF('数据-汇总表'!C$19:C$33,A12,'数据-汇总表'!N$19:N$33))</f>
        <v>0</v>
      </c>
      <c r="T12" s="1443">
        <f t="shared" si="4"/>
        <v>0</v>
      </c>
      <c r="U12" s="83"/>
      <c r="V12" s="74"/>
      <c r="W12" s="74"/>
      <c r="X12" s="1261"/>
      <c r="Y12" s="80"/>
      <c r="Z12" s="93"/>
      <c r="AA12" s="74"/>
      <c r="AB12" s="74"/>
      <c r="AC12" s="1261"/>
      <c r="AD12" s="82"/>
      <c r="AE12" s="1262">
        <f t="shared" ca="1" si="5"/>
        <v>0</v>
      </c>
      <c r="AF12" s="1803"/>
      <c r="AG12" s="147">
        <f t="shared" si="6"/>
        <v>0</v>
      </c>
      <c r="AH12" s="83"/>
      <c r="AI12" s="85"/>
      <c r="AJ12" s="86"/>
      <c r="AK12" s="94"/>
      <c r="AL12" s="95"/>
      <c r="AM12" s="96"/>
      <c r="AN12" s="2307"/>
      <c r="AO12" s="55" t="e">
        <f t="shared" ca="1" si="7"/>
        <v>#REF!</v>
      </c>
      <c r="AP12" s="2308">
        <f t="shared" si="8"/>
        <v>0</v>
      </c>
      <c r="AQ12" s="55">
        <f t="shared" si="9"/>
        <v>0</v>
      </c>
      <c r="AR12" s="55">
        <f t="shared" si="10"/>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2"/>
        <v>0</v>
      </c>
      <c r="P13" s="76">
        <f t="shared" si="3"/>
        <v>0</v>
      </c>
      <c r="Q13" s="90"/>
      <c r="R13" s="77">
        <f ca="1">SUMIF('数据-汇总表'!C$19:C$33,A13,'数据-汇总表'!R$19:R$27)</f>
        <v>0</v>
      </c>
      <c r="S13" s="54">
        <f>IF('数据-汇总表'!$I$17="按面积比例",SUMIF('数据-汇总表'!C$19:C$33,A13,'数据-汇总表'!K$19:K$33),SUMIF('数据-汇总表'!C$19:C$33,A13,'数据-汇总表'!N$19:N$33))</f>
        <v>0</v>
      </c>
      <c r="T13" s="1443">
        <f t="shared" si="4"/>
        <v>0</v>
      </c>
      <c r="U13" s="78"/>
      <c r="V13" s="79"/>
      <c r="W13" s="79"/>
      <c r="X13" s="1261"/>
      <c r="Y13" s="80"/>
      <c r="Z13" s="81"/>
      <c r="AA13" s="74"/>
      <c r="AB13" s="74"/>
      <c r="AC13" s="1261"/>
      <c r="AD13" s="82"/>
      <c r="AE13" s="1262">
        <f t="shared" ca="1" si="5"/>
        <v>0</v>
      </c>
      <c r="AF13" s="1803"/>
      <c r="AG13" s="147">
        <f t="shared" si="6"/>
        <v>0</v>
      </c>
      <c r="AH13" s="83"/>
      <c r="AI13" s="85"/>
      <c r="AJ13" s="86"/>
      <c r="AK13" s="87"/>
      <c r="AL13" s="88"/>
      <c r="AM13" s="89"/>
      <c r="AN13" s="2307"/>
      <c r="AO13" s="55" t="e">
        <f t="shared" ca="1" si="7"/>
        <v>#REF!</v>
      </c>
      <c r="AP13" s="2308">
        <f t="shared" si="8"/>
        <v>0</v>
      </c>
      <c r="AQ13" s="55">
        <f t="shared" si="9"/>
        <v>0</v>
      </c>
      <c r="AR13" s="55">
        <f t="shared" si="10"/>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5">
      <c r="A14" s="2309" t="s">
        <v>2009</v>
      </c>
      <c r="B14" s="2305" t="s">
        <v>2010</v>
      </c>
      <c r="C14" s="2310" t="s">
        <v>2009</v>
      </c>
      <c r="D14" s="1051"/>
      <c r="E14" s="1048"/>
      <c r="F14" s="72"/>
      <c r="G14" s="73"/>
      <c r="H14" s="1250"/>
      <c r="I14" s="1250"/>
      <c r="J14" s="1250"/>
      <c r="K14" s="1251">
        <f>SUMIF('数据-汇总表'!C$19:C$33,A14,'数据-汇总表'!E$19:E$33)</f>
        <v>9535.91</v>
      </c>
      <c r="L14" s="91">
        <f>抵押物汇总!AB32</f>
        <v>2800</v>
      </c>
      <c r="M14" s="75">
        <f t="shared" si="0"/>
        <v>2670</v>
      </c>
      <c r="N14" s="92">
        <v>0</v>
      </c>
      <c r="O14" s="75">
        <f t="shared" si="2"/>
        <v>0</v>
      </c>
      <c r="P14" s="76">
        <f t="shared" si="3"/>
        <v>2670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30">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6" thickBot="1">
      <c r="A16" s="2311" t="s">
        <v>2013</v>
      </c>
      <c r="B16" s="97"/>
      <c r="C16" s="1005"/>
      <c r="D16" s="2312"/>
      <c r="E16" s="97"/>
      <c r="F16" s="97"/>
      <c r="G16" s="98">
        <f>ROUND(SUMPRODUCT(G6:G13,K6:K13)/SUMPRODUCT((G6:G13&gt;0)*(K6:K13)),3)</f>
        <v>0.97899999999999998</v>
      </c>
      <c r="H16" s="99">
        <f>ROUND(SUMPRODUCT(H6:H13,K6:K13)/SUMPRODUCT((H6:H13&gt;0)*(K6:K13)),3)</f>
        <v>4.4999999999999998E-2</v>
      </c>
      <c r="I16" s="100"/>
      <c r="J16" s="100"/>
      <c r="K16" s="101">
        <f>SUM(K6:K15)</f>
        <v>993873.23100000003</v>
      </c>
      <c r="L16" s="102">
        <f>ROUND(M16*10000/SUM(K6:K14),0)</f>
        <v>2883</v>
      </c>
      <c r="M16" s="102">
        <f>SUM(M6:M14)</f>
        <v>286573</v>
      </c>
      <c r="N16" s="103">
        <f>ROUND(SUMPRODUCT(M6:M14,N6:N14)/M16,3)</f>
        <v>0</v>
      </c>
      <c r="O16" s="102">
        <f>SUM(O6:O14)</f>
        <v>0</v>
      </c>
      <c r="P16" s="102">
        <f>SUM(P6:P14)</f>
        <v>286573</v>
      </c>
      <c r="Q16" s="104">
        <f>ROUND(SUMPRODUCT(Q6:Q13,K6:K13)/SUMPRODUCT((Q6:Q13&gt;0)*(K6:K13)),2)</f>
        <v>0.18</v>
      </c>
      <c r="R16" s="1255">
        <f ca="1">SUM(R6:R13)</f>
        <v>535778.54</v>
      </c>
      <c r="S16" s="105">
        <f>SUM(S6:S13)</f>
        <v>9535.91</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4"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6" thickBot="1">
      <c r="A18" s="68" t="s">
        <v>2014</v>
      </c>
      <c r="B18" s="2278"/>
      <c r="C18" s="2275"/>
      <c r="D18" s="2276"/>
      <c r="E18" s="2275"/>
      <c r="F18" s="2275"/>
      <c r="G18" s="2275"/>
      <c r="H18" s="2275"/>
      <c r="I18" s="2275"/>
      <c r="J18" s="2275"/>
      <c r="K18" s="2973" t="s">
        <v>3169</v>
      </c>
      <c r="L18" s="3370" t="s">
        <v>3170</v>
      </c>
      <c r="M18" s="3370"/>
      <c r="N18" s="3370"/>
      <c r="O18" s="3371" t="s">
        <v>3171</v>
      </c>
      <c r="P18" s="3371"/>
      <c r="Q18" s="2977">
        <f>Q16/B20</f>
        <v>0.06</v>
      </c>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5">
      <c r="A19" s="2314" t="s">
        <v>2015</v>
      </c>
      <c r="B19" s="112">
        <v>0</v>
      </c>
      <c r="C19" s="2275" t="s">
        <v>2016</v>
      </c>
      <c r="D19" s="2276"/>
      <c r="E19" s="2275"/>
      <c r="F19" s="2275"/>
      <c r="G19" s="2275"/>
      <c r="H19" s="2275"/>
      <c r="I19" s="2275"/>
      <c r="J19" s="2275"/>
      <c r="K19" s="2974"/>
      <c r="L19" s="2975" t="s">
        <v>3172</v>
      </c>
      <c r="M19" s="2975" t="s">
        <v>3173</v>
      </c>
      <c r="N19" s="2975" t="s">
        <v>3174</v>
      </c>
      <c r="O19" s="3372"/>
      <c r="P19" s="3372"/>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5">
      <c r="A20" s="2315" t="s">
        <v>2017</v>
      </c>
      <c r="B20" s="113">
        <v>3</v>
      </c>
      <c r="C20" s="2275" t="s">
        <v>2018</v>
      </c>
      <c r="D20" s="2276"/>
      <c r="E20" s="2275"/>
      <c r="F20" s="2275"/>
      <c r="G20" s="2275"/>
      <c r="H20" s="2275"/>
      <c r="I20" s="2275"/>
      <c r="J20" s="2275"/>
      <c r="K20" s="2976" t="s">
        <v>3175</v>
      </c>
      <c r="L20" s="2976">
        <v>1351</v>
      </c>
      <c r="M20" s="2976">
        <v>1607</v>
      </c>
      <c r="N20" s="2976">
        <v>1437</v>
      </c>
      <c r="O20" s="3373" t="s">
        <v>3176</v>
      </c>
      <c r="P20" s="3373"/>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5">
      <c r="A21" s="2316" t="s">
        <v>2019</v>
      </c>
      <c r="B21" s="113">
        <v>0</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5">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c r="A23" s="2316" t="s">
        <v>2021</v>
      </c>
      <c r="B23" s="114">
        <f>B19+B21</f>
        <v>0</v>
      </c>
      <c r="C23" s="2275"/>
      <c r="D23" s="2276"/>
      <c r="E23" s="2275"/>
      <c r="F23" s="2275"/>
      <c r="G23" s="2275"/>
      <c r="H23" s="2275"/>
      <c r="I23" s="2275"/>
      <c r="J23" s="2275"/>
      <c r="K23" s="168"/>
      <c r="L23" s="168"/>
      <c r="M23" s="3148" t="s">
        <v>4313</v>
      </c>
      <c r="N23" s="1580">
        <v>40000</v>
      </c>
      <c r="O23" s="1580" t="s">
        <v>4314</v>
      </c>
      <c r="P23" s="1580"/>
      <c r="Q23" s="1580">
        <v>17000</v>
      </c>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6" thickBot="1">
      <c r="A24" s="2317" t="s">
        <v>2022</v>
      </c>
      <c r="B24" s="115">
        <f>B20-B21</f>
        <v>3</v>
      </c>
      <c r="C24" s="2275"/>
      <c r="D24" s="2276"/>
      <c r="E24" s="2275"/>
      <c r="F24" s="2275"/>
      <c r="G24" s="2275"/>
      <c r="H24" s="2275"/>
      <c r="I24" s="2275"/>
      <c r="J24" s="2275"/>
      <c r="K24" s="168"/>
      <c r="L24" s="168"/>
      <c r="M24" s="1580"/>
      <c r="N24" s="1580">
        <v>20000</v>
      </c>
      <c r="O24" s="1580" t="s">
        <v>4315</v>
      </c>
      <c r="P24" s="1580">
        <f>N24/N23</f>
        <v>0.5</v>
      </c>
      <c r="Q24" s="1580">
        <f>Q23*$P$24</f>
        <v>8500</v>
      </c>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v>17000</v>
      </c>
      <c r="O25" s="1580" t="s">
        <v>4316</v>
      </c>
      <c r="P25" s="1580">
        <f>N25/N23</f>
        <v>0.42499999999999999</v>
      </c>
      <c r="Q25" s="1580">
        <f>Q24*$P$24</f>
        <v>4250</v>
      </c>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6" thickBot="1">
      <c r="A26" s="2274" t="s">
        <v>2023</v>
      </c>
      <c r="B26" s="2318" t="s">
        <v>2024</v>
      </c>
      <c r="C26" s="2319" t="s">
        <v>2025</v>
      </c>
      <c r="D26" s="2276"/>
      <c r="E26" s="2275"/>
      <c r="F26" s="2275"/>
      <c r="G26" s="2275"/>
      <c r="H26" s="2275"/>
      <c r="I26" s="2275"/>
      <c r="J26" s="2275"/>
      <c r="K26" s="168"/>
      <c r="L26" s="168"/>
      <c r="M26" s="1580"/>
      <c r="N26" s="3148" t="s">
        <v>4317</v>
      </c>
      <c r="O26" s="1580"/>
      <c r="P26" s="1580"/>
      <c r="Q26" s="3152">
        <f>AVERAGE(Q23:Q25)</f>
        <v>9916.6666666666661</v>
      </c>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30">
      <c r="A27" s="2320" t="s">
        <v>2026</v>
      </c>
      <c r="B27" s="116">
        <v>65</v>
      </c>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30">
      <c r="A28" s="2323" t="s">
        <v>2028</v>
      </c>
      <c r="B28" s="119">
        <v>65</v>
      </c>
      <c r="C28" s="2324"/>
      <c r="D28" s="2321"/>
      <c r="E28" s="1427"/>
      <c r="F28" s="1427"/>
      <c r="G28" s="2275"/>
      <c r="H28" s="2275"/>
      <c r="I28" s="2275"/>
      <c r="J28" s="2275"/>
      <c r="K28" s="3149" t="s">
        <v>4318</v>
      </c>
      <c r="L28" s="168">
        <f>M16+'[1]数据-取费表'!$M$16+'[2]数据-取费表'!$M$16+'[3]数据-取费表'!$M$16+'[4]数据-取费表'!$M$16</f>
        <v>405658</v>
      </c>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31" thickBot="1">
      <c r="A29" s="2325" t="s">
        <v>2029</v>
      </c>
      <c r="B29" s="121"/>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30">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30">
      <c r="A31" s="2323" t="s">
        <v>2032</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31" thickBot="1">
      <c r="A32" s="2327" t="s">
        <v>2033</v>
      </c>
      <c r="B32" s="725">
        <v>50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5">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5">
      <c r="A34" s="2323" t="s">
        <v>2036</v>
      </c>
      <c r="B34" s="122">
        <v>0.03</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5">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6"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5">
      <c r="A37" s="2326" t="s">
        <v>2043</v>
      </c>
      <c r="B37" s="124">
        <v>0.01</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5">
      <c r="A38" s="2323" t="s">
        <v>2045</v>
      </c>
      <c r="B38" s="122">
        <v>1.4999999999999999E-2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5">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6"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5">
      <c r="A41" s="2320" t="s">
        <v>2049</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5">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5">
      <c r="A43" s="2328" t="s">
        <v>2051</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5">
      <c r="A44" s="2330" t="s">
        <v>2052</v>
      </c>
      <c r="B44" s="128">
        <v>7.0000000000000007E-2</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5">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5">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6"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5">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6"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5">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6"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5">
      <c r="A52" s="2333" t="s">
        <v>2066</v>
      </c>
      <c r="B52" s="133">
        <f>SUMIF(A54:A63,B53,B54:B63)</f>
        <v>0</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30">
      <c r="A53" s="2323" t="s">
        <v>2067</v>
      </c>
      <c r="B53" s="2334"/>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5">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5">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5">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5">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5">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5">
      <c r="A59" s="2336" t="s">
        <v>2075</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5">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5">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5">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6"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count="7">
    <dataValidation type="list" allowBlank="1" showInputMessage="1" showErrorMessage="1" sqref="B44" xr:uid="{00000000-0002-0000-1500-000000000000}">
      <formula1>"7%,5%,1%"</formula1>
    </dataValidation>
    <dataValidation type="list" allowBlank="1" showInputMessage="1" showErrorMessage="1" sqref="B53" xr:uid="{00000000-0002-0000-1500-000001000000}">
      <formula1>城镇土地纳税等级分级范围</formula1>
    </dataValidation>
    <dataValidation type="list" allowBlank="1" showInputMessage="1" showErrorMessage="1" sqref="N5" xr:uid="{00000000-0002-0000-1500-000002000000}">
      <formula1>"工程进度,成新度,工程进度/成新度"</formula1>
    </dataValidation>
    <dataValidation type="list" allowBlank="1" showInputMessage="1" showErrorMessage="1" sqref="C6:C15" xr:uid="{00000000-0002-0000-1500-000003000000}">
      <formula1>地类判定</formula1>
    </dataValidation>
    <dataValidation type="list" showInputMessage="1" showErrorMessage="1" sqref="AI6:AI13" xr:uid="{00000000-0002-0000-1500-000004000000}">
      <formula1>"365,12,1"</formula1>
    </dataValidation>
    <dataValidation type="list" allowBlank="1" showInputMessage="1" showErrorMessage="1" sqref="B14:B15" xr:uid="{00000000-0002-0000-1500-000005000000}">
      <formula1>类别</formula1>
    </dataValidation>
    <dataValidation type="list" allowBlank="1" showInputMessage="1" showErrorMessage="1" sqref="AN6:AN13" xr:uid="{00000000-0002-0000-15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baseColWidth="10" defaultColWidth="9" defaultRowHeight="14"/>
  <cols>
    <col min="1" max="1" width="9.5" style="2366" customWidth="1"/>
    <col min="2" max="2" width="24.5" style="2414" customWidth="1"/>
    <col min="3" max="3" width="24.5" style="2413" customWidth="1"/>
    <col min="4" max="4" width="2.6640625" style="2413" customWidth="1"/>
    <col min="5" max="5" width="5.83203125" style="2413" customWidth="1"/>
    <col min="6" max="6" width="27" style="2414" customWidth="1"/>
    <col min="7" max="7" width="27" style="2415" customWidth="1"/>
    <col min="8" max="8" width="11.83203125" style="2393" customWidth="1"/>
    <col min="9" max="9" width="16.83203125" style="2394" customWidth="1"/>
    <col min="10" max="10" width="2.6640625" style="2393" customWidth="1"/>
    <col min="11" max="11" width="11.83203125" style="2393" customWidth="1"/>
    <col min="12" max="12" width="16.83203125" style="2394" customWidth="1"/>
    <col min="13" max="13" width="2.6640625" style="2393" customWidth="1"/>
    <col min="14" max="14" width="11.83203125" style="2393" customWidth="1"/>
    <col min="15" max="15" width="16.83203125" style="2394" customWidth="1"/>
    <col min="16" max="16" width="2.6640625" style="2393" customWidth="1"/>
    <col min="17" max="17" width="11.83203125" style="2393" customWidth="1"/>
    <col min="18" max="18" width="16.83203125" style="2395" customWidth="1"/>
    <col min="19" max="29" width="9" style="2365"/>
    <col min="30" max="16384" width="9" style="2366"/>
  </cols>
  <sheetData>
    <row r="1" spans="1:29" s="2359" customFormat="1" ht="19" thickBot="1">
      <c r="A1" s="3374" t="s">
        <v>2080</v>
      </c>
      <c r="B1" s="3375"/>
      <c r="C1" s="3375"/>
      <c r="D1" s="3375"/>
      <c r="E1" s="3375"/>
      <c r="F1" s="3375"/>
      <c r="G1" s="337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2081</v>
      </c>
      <c r="D2" s="2363"/>
      <c r="E2" s="2364"/>
      <c r="F2" s="2284"/>
      <c r="G2" s="2362" t="s">
        <v>2082</v>
      </c>
      <c r="H2" s="2365"/>
      <c r="I2" s="2365"/>
      <c r="J2" s="2365"/>
      <c r="K2" s="2365"/>
      <c r="L2" s="2365"/>
      <c r="M2" s="2365"/>
      <c r="N2" s="2365"/>
      <c r="O2" s="2365"/>
      <c r="P2" s="2365"/>
      <c r="Q2" s="2365"/>
      <c r="R2" s="2365"/>
    </row>
    <row r="3" spans="1:29" ht="60">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60">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6"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30">
      <c r="A8" s="431"/>
      <c r="B8" s="1794" t="s">
        <v>2097</v>
      </c>
      <c r="C8" s="2373" t="s">
        <v>2098</v>
      </c>
      <c r="D8" s="2374"/>
      <c r="E8" s="2374"/>
      <c r="F8" s="1133"/>
      <c r="G8" s="1133"/>
      <c r="H8" s="2365"/>
      <c r="I8" s="2365"/>
      <c r="J8" s="2365"/>
      <c r="K8" s="2365"/>
      <c r="L8" s="2365"/>
      <c r="M8" s="2365"/>
      <c r="N8" s="2365"/>
      <c r="O8" s="2365"/>
      <c r="P8" s="2365"/>
      <c r="Q8" s="2365"/>
      <c r="R8" s="2365"/>
    </row>
    <row r="9" spans="1:29" ht="30">
      <c r="A9" s="431"/>
      <c r="B9" s="1794" t="s">
        <v>2101</v>
      </c>
      <c r="C9" s="2371" t="s">
        <v>2102</v>
      </c>
      <c r="D9" s="2368"/>
      <c r="E9" s="2374"/>
      <c r="F9" s="1133"/>
      <c r="G9" s="1133"/>
      <c r="H9" s="2365"/>
      <c r="I9" s="2365"/>
      <c r="J9" s="2365"/>
      <c r="K9" s="2365"/>
      <c r="L9" s="2365"/>
      <c r="M9" s="2365"/>
      <c r="N9" s="2365"/>
      <c r="O9" s="2365"/>
      <c r="P9" s="2365"/>
      <c r="Q9" s="2365"/>
      <c r="R9" s="2365"/>
    </row>
    <row r="10" spans="1:29" s="117" customFormat="1" ht="16"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 thickBot="1">
      <c r="A13" s="2391" t="s">
        <v>2104</v>
      </c>
      <c r="B13" s="2385"/>
      <c r="C13" s="2385"/>
      <c r="D13" s="2392"/>
      <c r="E13" s="2385"/>
      <c r="F13" s="2385"/>
      <c r="G13" s="2385"/>
    </row>
    <row r="14" spans="1:29" ht="16" thickBot="1">
      <c r="A14" s="2396"/>
      <c r="B14" s="2397"/>
      <c r="C14" s="2398" t="s">
        <v>2105</v>
      </c>
      <c r="D14" s="2368"/>
      <c r="E14" s="2399"/>
      <c r="F14" s="2399"/>
      <c r="G14" s="2362" t="s">
        <v>2106</v>
      </c>
    </row>
    <row r="15" spans="1:29" ht="60">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5">
      <c r="A17" s="645"/>
      <c r="B17" s="2402" t="s">
        <v>2092</v>
      </c>
      <c r="C17" s="2403" t="str">
        <f>C5</f>
        <v>估价对象位于XX商圈，周边办公楼项目较多，入驻率高，办公集聚程度较好</v>
      </c>
      <c r="D17" s="2374"/>
      <c r="E17" s="2404"/>
      <c r="F17" s="2405" t="s">
        <v>2110</v>
      </c>
      <c r="G17" s="1568"/>
    </row>
    <row r="18" spans="1:18" ht="60">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30">
      <c r="A19" s="645"/>
      <c r="B19" s="2405" t="s">
        <v>2111</v>
      </c>
      <c r="C19" s="1568"/>
      <c r="D19" s="2368"/>
      <c r="E19" s="2404"/>
      <c r="F19" s="1794" t="s">
        <v>2094</v>
      </c>
      <c r="G19" s="136" t="str">
        <f>G5</f>
        <v>估价对象所在区域公共配套设施齐备情况</v>
      </c>
    </row>
    <row r="20" spans="1:18" ht="30">
      <c r="A20" s="645"/>
      <c r="B20" s="2405" t="s">
        <v>2112</v>
      </c>
      <c r="C20" s="2403" t="str">
        <f>C9</f>
        <v>区域自然环境：；人文环境；综合评价环境状况一般</v>
      </c>
      <c r="D20" s="2374"/>
      <c r="E20" s="2404"/>
      <c r="F20" s="1794" t="s">
        <v>2113</v>
      </c>
      <c r="G20" s="136" t="str">
        <f>G6</f>
        <v>估价对象所在区域基础设施水平</v>
      </c>
    </row>
    <row r="21" spans="1:18" ht="30">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6"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6"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600-000000000000}">
      <formula1>临街状况</formula1>
    </dataValidation>
  </dataValidations>
  <pageMargins left="0.7" right="0.7" top="0.75" bottom="0.75" header="0.3" footer="0.3"/>
  <pageSetup paperSize="9" scale="26"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J23"/>
  <sheetViews>
    <sheetView tabSelected="1" zoomScaleNormal="100" workbookViewId="0">
      <selection activeCell="B3" sqref="B3"/>
    </sheetView>
  </sheetViews>
  <sheetFormatPr baseColWidth="10" defaultColWidth="9" defaultRowHeight="14"/>
  <cols>
    <col min="1" max="1" width="23.33203125" style="1737" customWidth="1"/>
    <col min="2" max="9" width="15.83203125" style="1737" customWidth="1"/>
    <col min="10" max="16384" width="9" style="1737"/>
  </cols>
  <sheetData>
    <row r="1" spans="1:10" ht="18">
      <c r="A1" s="1742" t="s">
        <v>1360</v>
      </c>
      <c r="B1" s="1742">
        <f>SUM(B14:B23)</f>
        <v>1361019.2209999997</v>
      </c>
      <c r="C1" s="1741"/>
      <c r="D1" s="1741"/>
      <c r="E1" s="1741"/>
      <c r="F1" s="1741"/>
      <c r="G1" s="1739"/>
    </row>
    <row r="2" spans="1:10" ht="18">
      <c r="A2" s="1742" t="s">
        <v>1348</v>
      </c>
      <c r="B2" s="1742">
        <f>SUM(C14:C23)</f>
        <v>906674.54</v>
      </c>
      <c r="C2" s="1741"/>
      <c r="D2" s="1741"/>
      <c r="E2" s="1741"/>
      <c r="F2" s="1741"/>
      <c r="G2" s="1739"/>
    </row>
    <row r="3" spans="1:10" ht="18">
      <c r="A3" s="1742" t="s">
        <v>1357</v>
      </c>
      <c r="B3" s="1743">
        <f>项目基本情况!D3</f>
        <v>43905</v>
      </c>
      <c r="C3" s="1741"/>
      <c r="D3" s="1741"/>
      <c r="E3" s="1741"/>
      <c r="F3" s="1741"/>
      <c r="G3" s="1739"/>
    </row>
    <row r="4" spans="1:10" ht="36">
      <c r="A4" s="1742" t="s">
        <v>1356</v>
      </c>
      <c r="B4" s="1742" t="s">
        <v>1355</v>
      </c>
      <c r="C4" s="1742" t="s">
        <v>1354</v>
      </c>
      <c r="D4" s="1742" t="s">
        <v>1353</v>
      </c>
      <c r="E4" s="1741"/>
      <c r="F4" s="1739"/>
      <c r="G4" s="1739"/>
    </row>
    <row r="5" spans="1:10" ht="18">
      <c r="A5" s="1742" t="s">
        <v>1352</v>
      </c>
      <c r="B5" s="1742">
        <f ca="1">SUM(D14:D23)</f>
        <v>413300</v>
      </c>
      <c r="C5" s="1742">
        <f ca="1">ROUND(B5*10000/$B$1,0)</f>
        <v>3037</v>
      </c>
      <c r="D5" s="1742">
        <f ca="1">ROUND(B5*10000/$B$2,0)</f>
        <v>4558</v>
      </c>
      <c r="E5" s="1741"/>
      <c r="F5" s="1739"/>
      <c r="G5" s="1739"/>
    </row>
    <row r="6" spans="1:10" ht="18">
      <c r="A6" s="1742" t="s">
        <v>1351</v>
      </c>
      <c r="B6" s="1742">
        <f ca="1">SUM(G14:G23)</f>
        <v>315663</v>
      </c>
      <c r="C6" s="1742">
        <f ca="1">ROUND(B6*10000/$B$1,0)</f>
        <v>2319</v>
      </c>
      <c r="D6" s="1742">
        <f ca="1">ROUND(B6*10000/$B$2,0)</f>
        <v>3482</v>
      </c>
      <c r="E6" s="1741"/>
      <c r="F6" s="1739"/>
      <c r="G6" s="1739"/>
    </row>
    <row r="7" spans="1:10" ht="18">
      <c r="A7" s="1742" t="s">
        <v>1359</v>
      </c>
      <c r="B7" s="1742">
        <f ca="1">SUM(H14:H23)</f>
        <v>315663</v>
      </c>
      <c r="C7" s="1742">
        <f ca="1">ROUND(B7*10000/$B$1,0)</f>
        <v>2319</v>
      </c>
      <c r="D7" s="1742">
        <f ca="1">ROUND(B7*10000/$B$2,0)</f>
        <v>3482</v>
      </c>
      <c r="E7" s="1741"/>
      <c r="F7" s="1739"/>
      <c r="G7" s="1739"/>
    </row>
    <row r="8" spans="1:10" ht="18">
      <c r="A8" s="1742" t="s">
        <v>1280</v>
      </c>
      <c r="B8" s="1742">
        <f>SUM(I14:I23)</f>
        <v>0</v>
      </c>
      <c r="C8" s="1742">
        <f>ROUND(B8*10000/$B$1,0)</f>
        <v>0</v>
      </c>
      <c r="D8" s="1742">
        <f>ROUND(B8*10000/$B$2,0)</f>
        <v>0</v>
      </c>
      <c r="E8" s="1741"/>
      <c r="F8" s="1739"/>
      <c r="G8" s="1739"/>
    </row>
    <row r="9" spans="1:10" ht="18">
      <c r="A9" s="1742" t="s">
        <v>1350</v>
      </c>
      <c r="B9" s="1744"/>
      <c r="C9" s="1741"/>
      <c r="D9" s="1741"/>
      <c r="E9" s="1741"/>
      <c r="F9" s="1739"/>
      <c r="G9" s="1739"/>
    </row>
    <row r="10" spans="1:10" ht="18">
      <c r="A10" s="1742" t="s">
        <v>1349</v>
      </c>
      <c r="B10" s="1744"/>
      <c r="C10" s="1741"/>
      <c r="D10" s="1741"/>
      <c r="E10" s="1741"/>
      <c r="F10" s="1739"/>
      <c r="G10" s="1739"/>
    </row>
    <row r="11" spans="1:10" ht="18">
      <c r="A11" s="1742" t="s">
        <v>1365</v>
      </c>
      <c r="B11" s="1744"/>
      <c r="C11" s="1741"/>
      <c r="D11" s="1741"/>
      <c r="E11" s="1741"/>
      <c r="F11" s="1739"/>
      <c r="G11" s="1739"/>
    </row>
    <row r="12" spans="1:10" ht="17">
      <c r="A12" s="1741"/>
      <c r="B12" s="1741"/>
      <c r="C12" s="1741"/>
      <c r="D12" s="1741"/>
      <c r="E12" s="1741"/>
      <c r="F12" s="1739"/>
      <c r="G12" s="1739"/>
    </row>
    <row r="13" spans="1:10" ht="36">
      <c r="A13" s="1747" t="s">
        <v>1364</v>
      </c>
      <c r="B13" s="1740" t="s">
        <v>1361</v>
      </c>
      <c r="C13" s="1740" t="s">
        <v>1363</v>
      </c>
      <c r="D13" s="1740" t="s">
        <v>1362</v>
      </c>
      <c r="E13" s="1742" t="s">
        <v>1354</v>
      </c>
      <c r="F13" s="1742" t="s">
        <v>1353</v>
      </c>
      <c r="G13" s="1740" t="s">
        <v>1347</v>
      </c>
      <c r="H13" s="1740" t="s">
        <v>1358</v>
      </c>
      <c r="I13" s="1740" t="s">
        <v>1346</v>
      </c>
      <c r="J13" s="1739"/>
    </row>
    <row r="14" spans="1:10" ht="18">
      <c r="A14" s="1738" t="s">
        <v>1345</v>
      </c>
      <c r="B14" s="1740">
        <f>结果表!B118</f>
        <v>993873.23100000003</v>
      </c>
      <c r="C14" s="1740">
        <f>结果表!C118</f>
        <v>535778.54</v>
      </c>
      <c r="D14" s="1740">
        <f ca="1">结果表!H118</f>
        <v>315663</v>
      </c>
      <c r="E14" s="1740">
        <f ca="1">ROUND(D14*10000/B14,0)</f>
        <v>3176</v>
      </c>
      <c r="F14" s="1740">
        <f ca="1">ROUND(D14*10000/C14,0)</f>
        <v>5892</v>
      </c>
      <c r="G14" s="1740">
        <f ca="1">结果表!D122</f>
        <v>315663</v>
      </c>
      <c r="H14" s="1740">
        <f ca="1">结果表!D124</f>
        <v>315663</v>
      </c>
      <c r="I14" s="1740" t="str">
        <f>结果表!D126</f>
        <v>——</v>
      </c>
      <c r="J14" s="1739"/>
    </row>
    <row r="15" spans="1:10" ht="17">
      <c r="A15" s="1738" t="s">
        <v>1344</v>
      </c>
      <c r="B15" s="1745">
        <f>[2]系统读取表!$B$14</f>
        <v>189062.08999999997</v>
      </c>
      <c r="C15" s="1745">
        <f>[2]系统读取表!$C$14</f>
        <v>97035.24</v>
      </c>
      <c r="D15" s="3146">
        <f ca="1">[2]系统读取表!$D$14</f>
        <v>14356</v>
      </c>
      <c r="E15" s="1740">
        <f t="shared" ref="E15:E23" ca="1" si="0">ROUND(D15*10000/B15,0)</f>
        <v>759</v>
      </c>
      <c r="F15" s="1740">
        <f t="shared" ref="F15:F23" ca="1" si="1">ROUND(D15*10000/C15,0)</f>
        <v>1479</v>
      </c>
      <c r="G15" s="1746"/>
      <c r="H15" s="1746"/>
      <c r="I15" s="1745"/>
      <c r="J15" s="1739"/>
    </row>
    <row r="16" spans="1:10" ht="17">
      <c r="A16" s="1738" t="s">
        <v>1343</v>
      </c>
      <c r="B16" s="1745">
        <f>[1]系统读取表!$B$14</f>
        <v>84852.819999999876</v>
      </c>
      <c r="C16" s="1745">
        <f>[1]系统读取表!$C$14</f>
        <v>0</v>
      </c>
      <c r="D16" s="3146">
        <f ca="1">[1]系统读取表!$D$14</f>
        <v>58899</v>
      </c>
      <c r="E16" s="1740">
        <f t="shared" ca="1" si="0"/>
        <v>6941</v>
      </c>
      <c r="F16" s="1740" t="e">
        <f t="shared" ca="1" si="1"/>
        <v>#DIV/0!</v>
      </c>
      <c r="G16" s="1746"/>
      <c r="H16" s="1746"/>
      <c r="I16" s="1745"/>
    </row>
    <row r="17" spans="1:9" ht="17">
      <c r="A17" s="1738" t="s">
        <v>1342</v>
      </c>
      <c r="B17" s="1745">
        <f>[3]系统读取表!$B$14</f>
        <v>56773.399999999994</v>
      </c>
      <c r="C17" s="1745">
        <f>[3]系统读取表!$C$14</f>
        <v>48521.760000000002</v>
      </c>
      <c r="D17" s="3146">
        <f ca="1">[3]系统读取表!$D$14</f>
        <v>9425</v>
      </c>
      <c r="E17" s="1740">
        <f t="shared" ca="1" si="0"/>
        <v>1660</v>
      </c>
      <c r="F17" s="1740">
        <f t="shared" ca="1" si="1"/>
        <v>1942</v>
      </c>
      <c r="G17" s="1746"/>
      <c r="H17" s="1746"/>
      <c r="I17" s="1745"/>
    </row>
    <row r="18" spans="1:9" ht="17">
      <c r="A18" s="1738" t="s">
        <v>1341</v>
      </c>
      <c r="B18" s="1745">
        <f>[4]系统读取表!$B$14</f>
        <v>36457.679999999993</v>
      </c>
      <c r="C18" s="1745">
        <f>[4]系统读取表!$C$14</f>
        <v>225339</v>
      </c>
      <c r="D18" s="3146">
        <f ca="1">[4]系统读取表!$D$14</f>
        <v>14957</v>
      </c>
      <c r="E18" s="1740">
        <f t="shared" ca="1" si="0"/>
        <v>4103</v>
      </c>
      <c r="F18" s="1740">
        <f t="shared" ca="1" si="1"/>
        <v>664</v>
      </c>
      <c r="G18" s="1745"/>
      <c r="H18" s="1745"/>
      <c r="I18" s="1745"/>
    </row>
    <row r="19" spans="1:9" ht="17">
      <c r="A19" s="1738" t="s">
        <v>1340</v>
      </c>
      <c r="B19" s="1745"/>
      <c r="C19" s="1745"/>
      <c r="D19" s="3146"/>
      <c r="E19" s="1740" t="e">
        <f t="shared" si="0"/>
        <v>#DIV/0!</v>
      </c>
      <c r="F19" s="1740" t="e">
        <f t="shared" si="1"/>
        <v>#DIV/0!</v>
      </c>
      <c r="G19" s="1745"/>
      <c r="H19" s="1745"/>
      <c r="I19" s="1745"/>
    </row>
    <row r="20" spans="1:9" ht="17">
      <c r="A20" s="1738" t="s">
        <v>1339</v>
      </c>
      <c r="B20" s="1745"/>
      <c r="C20" s="1745"/>
      <c r="D20" s="3146"/>
      <c r="E20" s="1740" t="e">
        <f t="shared" si="0"/>
        <v>#DIV/0!</v>
      </c>
      <c r="F20" s="1740" t="e">
        <f t="shared" si="1"/>
        <v>#DIV/0!</v>
      </c>
      <c r="G20" s="1745"/>
      <c r="H20" s="1745"/>
      <c r="I20" s="1745"/>
    </row>
    <row r="21" spans="1:9" ht="17">
      <c r="A21" s="1738" t="s">
        <v>1338</v>
      </c>
      <c r="B21" s="1745"/>
      <c r="C21" s="1745"/>
      <c r="D21" s="1745"/>
      <c r="E21" s="1740" t="e">
        <f t="shared" si="0"/>
        <v>#DIV/0!</v>
      </c>
      <c r="F21" s="1740" t="e">
        <f t="shared" si="1"/>
        <v>#DIV/0!</v>
      </c>
      <c r="G21" s="1745"/>
      <c r="H21" s="1745"/>
      <c r="I21" s="1745"/>
    </row>
    <row r="22" spans="1:9" ht="17">
      <c r="A22" s="1738" t="s">
        <v>1337</v>
      </c>
      <c r="B22" s="1745"/>
      <c r="C22" s="1745"/>
      <c r="D22" s="1745"/>
      <c r="E22" s="1740" t="e">
        <f t="shared" si="0"/>
        <v>#DIV/0!</v>
      </c>
      <c r="F22" s="1740" t="e">
        <f t="shared" si="1"/>
        <v>#DIV/0!</v>
      </c>
      <c r="G22" s="1745"/>
      <c r="H22" s="1745"/>
      <c r="I22" s="1745"/>
    </row>
    <row r="23" spans="1:9" ht="17">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FF0000"/>
  </sheetPr>
  <dimension ref="A1:AI512"/>
  <sheetViews>
    <sheetView topLeftCell="A93" zoomScaleNormal="100" zoomScaleSheetLayoutView="100" zoomScalePageLayoutView="80" workbookViewId="0">
      <selection activeCell="E107" sqref="E107:F108"/>
    </sheetView>
  </sheetViews>
  <sheetFormatPr baseColWidth="10"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640625" style="795" bestFit="1" customWidth="1"/>
    <col min="14" max="26" width="12.6640625" style="795"/>
    <col min="27" max="35" width="12.6640625" style="2421"/>
    <col min="36" max="16384" width="12.6640625" style="2422"/>
  </cols>
  <sheetData>
    <row r="1" spans="1:12" ht="21.75" customHeight="1" thickBot="1">
      <c r="A1" s="2223" t="s">
        <v>2117</v>
      </c>
      <c r="B1" s="2416"/>
      <c r="C1" s="2417"/>
      <c r="D1" s="2416"/>
      <c r="E1" s="2416"/>
      <c r="F1" s="2418" t="s">
        <v>2118</v>
      </c>
      <c r="G1" s="2068" t="s">
        <v>3178</v>
      </c>
      <c r="H1" s="2419" t="str">
        <f>IF(G1="现房","——","估价对象范围")</f>
        <v>估价对象范围</v>
      </c>
      <c r="I1" s="2420" t="s">
        <v>4074</v>
      </c>
    </row>
    <row r="2" spans="1:12" ht="21.75" customHeight="1" thickBot="1">
      <c r="A2" s="3448" t="str">
        <f>项目基本情况!S2</f>
        <v>出让国有建设用地使用权</v>
      </c>
      <c r="B2" s="3449"/>
      <c r="C2" s="3449"/>
      <c r="D2" s="3449"/>
      <c r="E2" s="3449"/>
      <c r="F2" s="3449"/>
      <c r="G2" s="3449"/>
      <c r="H2" s="3449"/>
      <c r="I2" s="3450"/>
    </row>
    <row r="3" spans="1:12" ht="14">
      <c r="A3" s="3451" t="s">
        <v>2119</v>
      </c>
      <c r="B3" s="3452"/>
      <c r="C3" s="3452"/>
      <c r="D3" s="3452"/>
      <c r="E3" s="3452"/>
      <c r="F3" s="3452"/>
      <c r="G3" s="3452"/>
      <c r="H3" s="3452"/>
      <c r="I3" s="3452"/>
    </row>
    <row r="4" spans="1:12" ht="15">
      <c r="A4" s="2423" t="s">
        <v>2120</v>
      </c>
      <c r="B4" s="2424" t="s">
        <v>2121</v>
      </c>
      <c r="C4" s="2425" t="s">
        <v>4160</v>
      </c>
      <c r="D4" s="2425" t="s">
        <v>3177</v>
      </c>
      <c r="E4" s="3432" t="s">
        <v>2122</v>
      </c>
      <c r="F4" s="3445"/>
      <c r="G4" s="3445"/>
      <c r="H4" s="3445"/>
      <c r="I4" s="3433"/>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4">
      <c r="A5" s="3423" t="s">
        <v>2123</v>
      </c>
      <c r="B5" s="3219">
        <v>25</v>
      </c>
      <c r="C5" s="3453"/>
      <c r="D5" s="3441"/>
      <c r="E5" s="140" t="s">
        <v>2124</v>
      </c>
      <c r="F5" s="2427"/>
      <c r="G5" s="2427"/>
      <c r="H5" s="2427"/>
      <c r="I5" s="1830"/>
    </row>
    <row r="6" spans="1:12" ht="14">
      <c r="A6" s="3423"/>
      <c r="B6" s="3219"/>
      <c r="C6" s="3455"/>
      <c r="D6" s="3441"/>
      <c r="E6" s="140" t="s">
        <v>2125</v>
      </c>
      <c r="F6" s="2427"/>
      <c r="G6" s="2427"/>
      <c r="H6" s="2427"/>
      <c r="I6" s="1830"/>
    </row>
    <row r="7" spans="1:12" ht="14">
      <c r="A7" s="3423"/>
      <c r="B7" s="3219"/>
      <c r="C7" s="3454"/>
      <c r="D7" s="3441"/>
      <c r="E7" s="140" t="s">
        <v>2126</v>
      </c>
      <c r="F7" s="2427"/>
      <c r="G7" s="2427"/>
      <c r="H7" s="2427"/>
      <c r="I7" s="1830"/>
    </row>
    <row r="8" spans="1:12" ht="14">
      <c r="A8" s="3423" t="s">
        <v>2127</v>
      </c>
      <c r="B8" s="3219">
        <v>15</v>
      </c>
      <c r="C8" s="3453"/>
      <c r="D8" s="3441"/>
      <c r="E8" s="140" t="s">
        <v>2128</v>
      </c>
      <c r="F8" s="2427"/>
      <c r="G8" s="2427"/>
      <c r="H8" s="2427"/>
      <c r="I8" s="1830"/>
    </row>
    <row r="9" spans="1:12" ht="14">
      <c r="A9" s="3423"/>
      <c r="B9" s="3219"/>
      <c r="C9" s="3454"/>
      <c r="D9" s="3441"/>
      <c r="E9" s="140" t="s">
        <v>2129</v>
      </c>
      <c r="F9" s="2427"/>
      <c r="G9" s="2427"/>
      <c r="H9" s="2427"/>
      <c r="I9" s="1830"/>
    </row>
    <row r="10" spans="1:12" ht="14">
      <c r="A10" s="3423" t="s">
        <v>2130</v>
      </c>
      <c r="B10" s="3219">
        <v>15</v>
      </c>
      <c r="C10" s="3453"/>
      <c r="D10" s="3441"/>
      <c r="E10" s="140" t="s">
        <v>2131</v>
      </c>
      <c r="F10" s="2427"/>
      <c r="G10" s="2427"/>
      <c r="H10" s="2427"/>
      <c r="I10" s="1830"/>
    </row>
    <row r="11" spans="1:12" ht="14">
      <c r="A11" s="3423"/>
      <c r="B11" s="3219"/>
      <c r="C11" s="3454"/>
      <c r="D11" s="3441"/>
      <c r="E11" s="140" t="s">
        <v>2132</v>
      </c>
      <c r="F11" s="2427"/>
      <c r="G11" s="2427"/>
      <c r="H11" s="2427"/>
      <c r="I11" s="1830"/>
    </row>
    <row r="12" spans="1:12" ht="14">
      <c r="A12" s="3423" t="s">
        <v>2133</v>
      </c>
      <c r="B12" s="3219">
        <v>15</v>
      </c>
      <c r="C12" s="3453"/>
      <c r="D12" s="3441"/>
      <c r="E12" s="140" t="s">
        <v>2134</v>
      </c>
      <c r="F12" s="2427"/>
      <c r="G12" s="2427"/>
      <c r="H12" s="2427"/>
      <c r="I12" s="1830"/>
    </row>
    <row r="13" spans="1:12" ht="14">
      <c r="A13" s="3423"/>
      <c r="B13" s="3219"/>
      <c r="C13" s="3454"/>
      <c r="D13" s="3441"/>
      <c r="E13" s="140" t="s">
        <v>2135</v>
      </c>
      <c r="F13" s="2427"/>
      <c r="G13" s="2427"/>
      <c r="H13" s="2427"/>
      <c r="I13" s="1830"/>
    </row>
    <row r="14" spans="1:12" ht="14">
      <c r="A14" s="3423" t="s">
        <v>2136</v>
      </c>
      <c r="B14" s="3219">
        <v>30</v>
      </c>
      <c r="C14" s="3453">
        <v>5</v>
      </c>
      <c r="D14" s="3441">
        <v>5</v>
      </c>
      <c r="E14" s="140" t="s">
        <v>2137</v>
      </c>
      <c r="F14" s="2427"/>
      <c r="G14" s="2427"/>
      <c r="H14" s="2427"/>
      <c r="I14" s="1830"/>
    </row>
    <row r="15" spans="1:12" ht="14">
      <c r="A15" s="3423"/>
      <c r="B15" s="3219"/>
      <c r="C15" s="3455"/>
      <c r="D15" s="3441"/>
      <c r="E15" s="140" t="s">
        <v>2138</v>
      </c>
      <c r="F15" s="2427"/>
      <c r="G15" s="2427"/>
      <c r="H15" s="2427"/>
      <c r="I15" s="1830"/>
    </row>
    <row r="16" spans="1:12" ht="14">
      <c r="A16" s="3423"/>
      <c r="B16" s="3219"/>
      <c r="C16" s="3454"/>
      <c r="D16" s="3441"/>
      <c r="E16" s="140" t="s">
        <v>2139</v>
      </c>
      <c r="F16" s="2427"/>
      <c r="G16" s="2427"/>
      <c r="H16" s="2427"/>
      <c r="I16" s="1830"/>
    </row>
    <row r="17" spans="1:35" ht="14">
      <c r="A17" s="2428" t="s">
        <v>2140</v>
      </c>
      <c r="B17" s="64"/>
      <c r="C17" s="141">
        <f>SUM(C5:C16)</f>
        <v>5</v>
      </c>
      <c r="D17" s="141">
        <f>SUM(D5:D16)</f>
        <v>5</v>
      </c>
      <c r="E17" s="138"/>
      <c r="F17" s="138"/>
      <c r="G17" s="138"/>
      <c r="H17" s="138"/>
      <c r="I17" s="138"/>
      <c r="K17" s="2426"/>
      <c r="L17" s="2429" t="s">
        <v>2141</v>
      </c>
      <c r="M17" s="2429" t="s">
        <v>2142</v>
      </c>
    </row>
    <row r="18" spans="1:35" ht="1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993873.23100000003</v>
      </c>
      <c r="M18" s="2426">
        <f>IF(C1="",'数据-汇总表'!E3,SUMIF(项目类型,C1,'数据-汇总表'!E17:E26))</f>
        <v>993873.23100000003</v>
      </c>
    </row>
    <row r="19" spans="1:35" ht="14">
      <c r="A19" s="2432" t="s">
        <v>2145</v>
      </c>
      <c r="B19" s="2433" t="s">
        <v>2146</v>
      </c>
      <c r="C19" s="143">
        <f ca="1">SUMIF(INDIRECT("'"&amp;C4&amp;"'"&amp;"!A:A"),结果表!B19,INDIRECT("'"&amp;C4&amp;"'"&amp;"!B:B"))</f>
        <v>321788</v>
      </c>
      <c r="D19" s="144">
        <f ca="1">SUMIF(INDIRECT("'"&amp;D4&amp;"'"&amp;"!A:A"),结果表!B19,INDIRECT("'"&amp;D4&amp;"'"&amp;"!B:B"))</f>
        <v>309538</v>
      </c>
      <c r="E19" s="2432" t="s">
        <v>2147</v>
      </c>
      <c r="F19" s="2433" t="s">
        <v>2146</v>
      </c>
      <c r="G19" s="145">
        <f ca="1">ROUND(C19*$C$18+D19*$D$18,0)</f>
        <v>315663</v>
      </c>
      <c r="H19" s="2434" t="s">
        <v>2148</v>
      </c>
      <c r="I19" s="138"/>
      <c r="K19" s="2426" t="s">
        <v>2149</v>
      </c>
      <c r="L19" s="2426">
        <f>IF(C1="",'数据-汇总表'!D3,SUMIF(项目类型,C1,'数据-汇总表'!D17:D26)+SUMIF(项目类型,C1,'数据-汇总表'!H17:H27))</f>
        <v>535778.54</v>
      </c>
      <c r="M19" s="2426">
        <f>IF(C1="",'数据-汇总表'!D3,SUMIF(项目类型,C1,'数据-汇总表'!D17:D26))</f>
        <v>535778.54</v>
      </c>
    </row>
    <row r="20" spans="1:35" ht="14">
      <c r="A20" s="2435"/>
      <c r="B20" s="1247" t="s">
        <v>2150</v>
      </c>
      <c r="C20" s="146">
        <f ca="1">SUMIF(INDIRECT("'"&amp;C4&amp;"'"&amp;"!A:A"),结果表!B20,INDIRECT("'"&amp;C4&amp;"'"&amp;"!B:B"))</f>
        <v>3238</v>
      </c>
      <c r="D20" s="147">
        <f ca="1">SUMIF(INDIRECT("'"&amp;D4&amp;"'"&amp;"!A:A"),结果表!B20,INDIRECT("'"&amp;D4&amp;"'"&amp;"!B:B"))</f>
        <v>3114</v>
      </c>
      <c r="E20" s="2435"/>
      <c r="F20" s="1247" t="s">
        <v>2150</v>
      </c>
      <c r="G20" s="148">
        <f ca="1">ROUND(C20*$C$18+D20*$D$18,0)</f>
        <v>3176</v>
      </c>
      <c r="H20" s="980" t="s">
        <v>2151</v>
      </c>
      <c r="I20" s="138"/>
      <c r="J20" s="795">
        <f ca="1">ROUND(G19/'数据-汇总表'!F31*10000,0)</f>
        <v>5977</v>
      </c>
    </row>
    <row r="21" spans="1:35" ht="15" customHeight="1" thickBot="1">
      <c r="A21" s="1000"/>
      <c r="B21" s="2436" t="s">
        <v>2152</v>
      </c>
      <c r="C21" s="789">
        <f ca="1">ROUND(C19*10000/L19,0)</f>
        <v>6006</v>
      </c>
      <c r="D21" s="790">
        <f ca="1">ROUND(D19*10000/L19,0)</f>
        <v>5777</v>
      </c>
      <c r="E21" s="1000"/>
      <c r="F21" s="2436" t="s">
        <v>2152</v>
      </c>
      <c r="G21" s="149">
        <f ca="1">ROUND(G19*10000/L19,0)</f>
        <v>5892</v>
      </c>
      <c r="H21" s="2437" t="s">
        <v>2151</v>
      </c>
      <c r="I21" s="138"/>
      <c r="J21" s="3143">
        <f ca="1">G19/假设开发法!C4</f>
        <v>0.34562033366070932</v>
      </c>
    </row>
    <row r="22" spans="1:35" ht="15" thickBot="1">
      <c r="A22" s="2279" t="s">
        <v>2153</v>
      </c>
      <c r="B22" s="2438"/>
      <c r="C22" s="2439"/>
      <c r="D22" s="791">
        <f ca="1">IF(C19&lt;D19,D19/C19-1,C19/D19-1)</f>
        <v>3.9575108710400597E-2</v>
      </c>
      <c r="E22" s="138"/>
      <c r="F22" s="138"/>
      <c r="G22" s="138">
        <f ca="1">ROUND(G19/'数据-汇总表'!D3*667,0)</f>
        <v>393</v>
      </c>
      <c r="H22" s="138"/>
      <c r="I22" s="138"/>
    </row>
    <row r="23" spans="1:35" ht="14" thickBot="1">
      <c r="A23" s="2416"/>
      <c r="B23" s="2416"/>
      <c r="C23" s="2416"/>
      <c r="D23" s="2416"/>
      <c r="E23" s="138"/>
      <c r="F23" s="138"/>
      <c r="G23" s="138"/>
      <c r="H23" s="138"/>
      <c r="I23" s="138"/>
    </row>
    <row r="24" spans="1:35" ht="14">
      <c r="A24" s="3462" t="s">
        <v>2154</v>
      </c>
      <c r="B24" s="2433" t="s">
        <v>2146</v>
      </c>
      <c r="C24" s="145">
        <f>IF(B30=0,0,D30)</f>
        <v>0</v>
      </c>
      <c r="D24" s="2440"/>
      <c r="E24" s="138"/>
      <c r="F24" s="138"/>
      <c r="G24" s="138"/>
      <c r="H24" s="138"/>
      <c r="I24" s="138"/>
    </row>
    <row r="25" spans="1:35" ht="14">
      <c r="A25" s="3463"/>
      <c r="B25" s="1247"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
      <c r="A27" s="2442"/>
      <c r="B27" s="151">
        <v>0</v>
      </c>
      <c r="C27" s="151">
        <v>0</v>
      </c>
      <c r="D27" s="152">
        <f>ROUND(C27*B27/10000,0)</f>
        <v>0</v>
      </c>
      <c r="E27" s="138"/>
      <c r="F27" s="138"/>
      <c r="G27" s="138"/>
      <c r="H27" s="138"/>
      <c r="I27" s="138"/>
    </row>
    <row r="28" spans="1:35" ht="14">
      <c r="A28" s="2442"/>
      <c r="B28" s="151"/>
      <c r="C28" s="151"/>
      <c r="D28" s="152"/>
      <c r="E28" s="138"/>
      <c r="F28" s="138"/>
      <c r="G28" s="138"/>
      <c r="H28" s="138"/>
      <c r="I28" s="138"/>
    </row>
    <row r="29" spans="1:35" ht="14">
      <c r="A29" s="2442"/>
      <c r="B29" s="151"/>
      <c r="C29" s="151"/>
      <c r="D29" s="152"/>
      <c r="E29" s="138"/>
      <c r="F29" s="138"/>
      <c r="G29" s="138"/>
      <c r="H29" s="138"/>
      <c r="I29" s="138"/>
    </row>
    <row r="30" spans="1:35" ht="14">
      <c r="A30" s="151" t="s">
        <v>2159</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2160</v>
      </c>
      <c r="B32" s="2446"/>
      <c r="C32" s="153">
        <f ca="1">IF(D32="总价",G19-C24,G20-C25)</f>
        <v>315663</v>
      </c>
      <c r="D32" s="2447" t="s">
        <v>2161</v>
      </c>
      <c r="E32" s="138"/>
      <c r="F32" s="138"/>
      <c r="G32" s="138"/>
      <c r="H32" s="138"/>
      <c r="I32" s="138"/>
    </row>
    <row r="33" spans="1:15" ht="14">
      <c r="A33" s="957" t="s">
        <v>2162</v>
      </c>
      <c r="B33" s="2448"/>
      <c r="C33" s="2449" t="s">
        <v>4070</v>
      </c>
      <c r="D33" s="2450" t="s">
        <v>4071</v>
      </c>
      <c r="E33" s="2451" t="s">
        <v>2163</v>
      </c>
      <c r="F33" s="2452" t="str">
        <f>IF(D32="楼面单价","取值（单价）","取值（总价）")</f>
        <v>取值（总价）</v>
      </c>
      <c r="G33" s="138"/>
      <c r="H33" s="138"/>
      <c r="I33" s="138"/>
    </row>
    <row r="34" spans="1:15" ht="14">
      <c r="A34" s="2453"/>
      <c r="B34" s="2454" t="s">
        <v>2164</v>
      </c>
      <c r="C34" s="157">
        <f ca="1">IF(C33="自定义",F34,C32-C35)</f>
        <v>315663</v>
      </c>
      <c r="D34" s="1055">
        <f ca="1">IF(C33="自定义",ROUND(C34/C32,3),IF(C33="收益比率",SUMIF(INDIRECT("'"&amp;D33&amp;"'"&amp;"!b:b"),"土地收益比率",INDIRECT("'"&amp;D33&amp;"'"&amp;"!c:c")),SUMIF(INDIRECT("'"&amp;D33&amp;"'"&amp;"!b:b"),"土地成本比率",INDIRECT("'"&amp;D33&amp;"'"&amp;"!c:c"))))</f>
        <v>1</v>
      </c>
      <c r="E34" s="2455" t="s">
        <v>2165</v>
      </c>
      <c r="F34" s="1735"/>
      <c r="G34" s="138"/>
      <c r="H34" s="138"/>
      <c r="I34" s="138"/>
    </row>
    <row r="35" spans="1:15" ht="15" thickBot="1">
      <c r="A35" s="2456"/>
      <c r="B35" s="2457" t="s">
        <v>2166</v>
      </c>
      <c r="C35" s="1441">
        <f ca="1">IF(C33="自定义",F35,ROUND(C32*D35,0))</f>
        <v>0</v>
      </c>
      <c r="D35" s="1442">
        <f ca="1">IF(C33="自定义",ROUND(C35/C32,3),IF(C33="收益比率",SUMIF(INDIRECT("'"&amp;D33&amp;"'"&amp;"!b:b"),"建筑物收益比率",INDIRECT("'"&amp;D33&amp;"'"&amp;"!c:c")),SUMIF(INDIRECT("'"&amp;D33&amp;"'"&amp;"!b:b"),"建筑物成本比率",INDIRECT("'"&amp;D33&amp;"'"&amp;"!c:c"))))</f>
        <v>0</v>
      </c>
      <c r="E35" s="2458" t="s">
        <v>2167</v>
      </c>
      <c r="F35" s="163"/>
      <c r="G35" s="138"/>
      <c r="H35" s="138"/>
      <c r="I35" s="138"/>
    </row>
    <row r="36" spans="1:15" ht="15" thickBot="1">
      <c r="A36" s="3442" t="s">
        <v>2168</v>
      </c>
      <c r="B36" s="2459" t="s">
        <v>2169</v>
      </c>
      <c r="C36" s="154"/>
      <c r="D36" s="2460"/>
      <c r="E36" s="2461"/>
      <c r="F36" s="2462"/>
      <c r="G36" s="138"/>
      <c r="H36" s="138"/>
      <c r="I36" s="138"/>
    </row>
    <row r="37" spans="1:15" ht="15" thickBot="1">
      <c r="A37" s="3443"/>
      <c r="B37" s="2265" t="s">
        <v>2170</v>
      </c>
      <c r="C37" s="156"/>
      <c r="D37" s="1392"/>
      <c r="E37" s="1392"/>
      <c r="F37" s="2462"/>
      <c r="G37" s="138"/>
      <c r="H37" s="138"/>
      <c r="I37" s="138"/>
    </row>
    <row r="38" spans="1:15" ht="15" thickBot="1">
      <c r="A38" s="3444"/>
      <c r="B38" s="2463" t="s">
        <v>2171</v>
      </c>
      <c r="C38" s="727"/>
      <c r="D38" s="2464" t="s">
        <v>2172</v>
      </c>
      <c r="E38" s="1392"/>
      <c r="F38" s="2462"/>
      <c r="G38" s="138"/>
      <c r="H38" s="138"/>
      <c r="I38" s="138"/>
    </row>
    <row r="39" spans="1:15" ht="14">
      <c r="A39" s="2435" t="s">
        <v>2173</v>
      </c>
      <c r="B39" s="2465" t="s">
        <v>2174</v>
      </c>
      <c r="C39" s="2466" t="s">
        <v>2175</v>
      </c>
      <c r="D39" s="2466" t="s">
        <v>2176</v>
      </c>
      <c r="E39" s="2467" t="s">
        <v>2177</v>
      </c>
      <c r="F39" s="2462"/>
      <c r="G39" s="138"/>
      <c r="H39" s="138"/>
      <c r="I39" s="138"/>
    </row>
    <row r="40" spans="1:15" ht="14">
      <c r="A40" s="2468" t="s">
        <v>2178</v>
      </c>
      <c r="B40" s="158"/>
      <c r="C40" s="159"/>
      <c r="D40" s="159"/>
      <c r="E40" s="160"/>
      <c r="F40" s="2462"/>
      <c r="G40" s="138"/>
      <c r="H40" s="138"/>
      <c r="I40" s="138"/>
    </row>
    <row r="41" spans="1:15" ht="14">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3">
      <c r="A43" s="2163"/>
      <c r="B43" s="2163"/>
      <c r="C43" s="2163"/>
      <c r="D43" s="2163"/>
      <c r="E43" s="2163"/>
      <c r="F43" s="2470"/>
      <c r="G43" s="2470"/>
      <c r="H43" s="2470"/>
      <c r="I43" s="2471"/>
    </row>
    <row r="44" spans="1:15" ht="18">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459" t="s">
        <v>2182</v>
      </c>
      <c r="B45" s="3460"/>
      <c r="C45" s="3461"/>
      <c r="D45" s="164">
        <f ca="1">ROUND(H101*F45,0)</f>
        <v>315663</v>
      </c>
      <c r="E45" s="165" t="s">
        <v>2183</v>
      </c>
      <c r="F45" s="166">
        <v>1</v>
      </c>
      <c r="G45" s="167" t="s">
        <v>2184</v>
      </c>
      <c r="H45" s="138"/>
      <c r="I45" s="138"/>
      <c r="J45" s="3378" t="s">
        <v>2185</v>
      </c>
      <c r="K45" s="3378"/>
      <c r="L45" s="3378"/>
      <c r="M45" s="3378"/>
      <c r="N45" s="3378"/>
      <c r="O45" s="3378"/>
    </row>
    <row r="46" spans="1:15" ht="14.25" customHeight="1">
      <c r="A46" s="3456" t="s">
        <v>2186</v>
      </c>
      <c r="B46" s="3457"/>
      <c r="C46" s="3457"/>
      <c r="D46" s="3457"/>
      <c r="E46" s="3457"/>
      <c r="F46" s="3457"/>
      <c r="G46" s="3458"/>
      <c r="H46" s="2478"/>
      <c r="I46" s="168"/>
      <c r="J46" s="1808">
        <v>1</v>
      </c>
      <c r="K46" s="3378" t="s">
        <v>2187</v>
      </c>
      <c r="L46" s="3378"/>
      <c r="M46" s="3379"/>
      <c r="N46" s="3379"/>
      <c r="O46" s="3379"/>
    </row>
    <row r="47" spans="1:15" ht="12" customHeight="1">
      <c r="A47" s="169" t="s">
        <v>2188</v>
      </c>
      <c r="B47" s="170"/>
      <c r="C47" s="171"/>
      <c r="D47" s="172" t="s">
        <v>2189</v>
      </c>
      <c r="E47" s="24" t="s">
        <v>2190</v>
      </c>
      <c r="F47" s="173" t="s">
        <v>2191</v>
      </c>
      <c r="G47" s="174" t="s">
        <v>2192</v>
      </c>
      <c r="H47" s="2478"/>
      <c r="I47" s="168"/>
      <c r="J47" s="1808">
        <v>2</v>
      </c>
      <c r="K47" s="3378" t="s">
        <v>2193</v>
      </c>
      <c r="L47" s="3378"/>
      <c r="M47" s="3380">
        <f>'数据-取费表'!B2</f>
        <v>43905</v>
      </c>
      <c r="N47" s="3380"/>
      <c r="O47" s="3380"/>
    </row>
    <row r="48" spans="1:15" ht="30">
      <c r="A48" s="3446" t="s">
        <v>2194</v>
      </c>
      <c r="B48" s="3447"/>
      <c r="C48" s="3447"/>
      <c r="D48" s="140">
        <f ca="1">IF(H48="情况1",0,IF(H48="情况2",D52,IF(H48="情况3",D53,IF(H48="情况4",D54))))</f>
        <v>16835</v>
      </c>
      <c r="E48" s="1797" t="str">
        <f>IF(H48="情况4","(销售额-原购置价)×税（费）率","销售额×税（费）率")</f>
        <v>销售额×税（费）率</v>
      </c>
      <c r="F48" s="175">
        <f>IF(H48="情况1","免征",'数据-取费表'!B41)</f>
        <v>5.6000000000000001E-2</v>
      </c>
      <c r="G48" s="2479" t="s">
        <v>2195</v>
      </c>
      <c r="H48" s="2480" t="s">
        <v>4072</v>
      </c>
      <c r="I48" s="2478"/>
      <c r="J48" s="1808">
        <v>3</v>
      </c>
      <c r="K48" s="3378" t="s">
        <v>2196</v>
      </c>
      <c r="L48" s="3378"/>
      <c r="M48" s="3381">
        <f ca="1">H101</f>
        <v>315663</v>
      </c>
      <c r="N48" s="3381"/>
      <c r="O48" s="3381"/>
    </row>
    <row r="49" spans="1:35" ht="25.5" customHeight="1">
      <c r="A49" s="176" t="s">
        <v>2197</v>
      </c>
      <c r="B49" s="3426" t="s">
        <v>2198</v>
      </c>
      <c r="C49" s="3426"/>
      <c r="D49" s="177">
        <v>0</v>
      </c>
      <c r="E49" s="23" t="s">
        <v>2199</v>
      </c>
      <c r="F49" s="28" t="s">
        <v>34</v>
      </c>
      <c r="G49" s="3407"/>
      <c r="H49" s="138"/>
      <c r="I49" s="2481"/>
      <c r="J49" s="1808">
        <v>4</v>
      </c>
      <c r="K49" s="3378" t="str">
        <f>IF(项目基本情况!E8="房地产抵押价值","房地产抵押价值","抵押担保权已注销时的房地产抵押价值")</f>
        <v>抵押担保权已注销时的房地产抵押价值</v>
      </c>
      <c r="L49" s="3378"/>
      <c r="M49" s="3381">
        <f ca="1">IF(项目基本情况!E8="房地产抵押价值",H107,H109)</f>
        <v>315663</v>
      </c>
      <c r="N49" s="3381"/>
      <c r="O49" s="3381"/>
    </row>
    <row r="50" spans="1:35" ht="25.5" customHeight="1">
      <c r="A50" s="178"/>
      <c r="B50" s="3426" t="s">
        <v>2200</v>
      </c>
      <c r="C50" s="3426"/>
      <c r="D50" s="179"/>
      <c r="E50" s="31"/>
      <c r="F50" s="180"/>
      <c r="G50" s="3408"/>
      <c r="H50" s="138"/>
      <c r="I50" s="2481"/>
      <c r="J50" s="3378" t="s">
        <v>2201</v>
      </c>
      <c r="K50" s="3378"/>
      <c r="L50" s="3378"/>
      <c r="M50" s="3378"/>
      <c r="N50" s="3378"/>
      <c r="O50" s="3378"/>
    </row>
    <row r="51" spans="1:35" ht="12" customHeight="1">
      <c r="A51" s="181"/>
      <c r="B51" s="3426" t="s">
        <v>2202</v>
      </c>
      <c r="C51" s="3426"/>
      <c r="D51" s="182"/>
      <c r="E51" s="30"/>
      <c r="F51" s="180"/>
      <c r="G51" s="3409"/>
      <c r="H51" s="138"/>
      <c r="I51" s="2481"/>
      <c r="J51" s="2482" t="s">
        <v>2203</v>
      </c>
      <c r="K51" s="3378" t="s">
        <v>2204</v>
      </c>
      <c r="L51" s="3378"/>
      <c r="M51" s="2482" t="s">
        <v>2205</v>
      </c>
      <c r="N51" s="2482" t="s">
        <v>2206</v>
      </c>
      <c r="O51" s="2482" t="s">
        <v>2207</v>
      </c>
    </row>
    <row r="52" spans="1:35" ht="24" customHeight="1">
      <c r="A52" s="183" t="s">
        <v>2208</v>
      </c>
      <c r="B52" s="3426" t="s">
        <v>2209</v>
      </c>
      <c r="C52" s="3426"/>
      <c r="D52" s="182">
        <f ca="1">ROUND(D45*'数据-取费表'!B41/(1+'数据-取费表'!C42),0)</f>
        <v>16835</v>
      </c>
      <c r="E52" s="11" t="s">
        <v>2210</v>
      </c>
      <c r="F52" s="184">
        <f>'数据-取费表'!B41</f>
        <v>5.6000000000000001E-2</v>
      </c>
      <c r="G52" s="2483"/>
      <c r="H52" s="138"/>
      <c r="I52" s="2481"/>
      <c r="J52" s="1808">
        <v>1</v>
      </c>
      <c r="K52" s="3401" t="s">
        <v>2211</v>
      </c>
      <c r="L52" s="3401"/>
      <c r="M52" s="1750">
        <f ca="1">D48</f>
        <v>16835</v>
      </c>
      <c r="N52" s="1808" t="str">
        <f>E48</f>
        <v>销售额×税（费）率</v>
      </c>
      <c r="O52" s="1751">
        <f>F48</f>
        <v>5.6000000000000001E-2</v>
      </c>
    </row>
    <row r="53" spans="1:35" ht="12" customHeight="1">
      <c r="A53" s="183" t="s">
        <v>2212</v>
      </c>
      <c r="B53" s="3427" t="s">
        <v>2213</v>
      </c>
      <c r="C53" s="3428"/>
      <c r="D53" s="182">
        <f ca="1">ROUND(D45*'数据-取费表'!B41/(1+'数据-取费表'!C42),0)</f>
        <v>16835</v>
      </c>
      <c r="E53" s="11" t="s">
        <v>2210</v>
      </c>
      <c r="F53" s="184">
        <f>'数据-取费表'!B41</f>
        <v>5.6000000000000001E-2</v>
      </c>
      <c r="G53" s="2483"/>
      <c r="H53" s="138"/>
      <c r="I53" s="2481"/>
      <c r="J53" s="1808">
        <v>2</v>
      </c>
      <c r="K53" s="3401" t="s">
        <v>2214</v>
      </c>
      <c r="L53" s="3401"/>
      <c r="M53" s="1750">
        <f t="shared" ref="M53:O54" ca="1" si="0">D55</f>
        <v>158</v>
      </c>
      <c r="N53" s="1808" t="str">
        <f t="shared" si="0"/>
        <v>销售额×税（费）率</v>
      </c>
      <c r="O53" s="1751">
        <f t="shared" si="0"/>
        <v>5.0000000000000001E-4</v>
      </c>
    </row>
    <row r="54" spans="1:35" ht="12" customHeight="1">
      <c r="A54" s="183" t="s">
        <v>2215</v>
      </c>
      <c r="B54" s="3427" t="s">
        <v>2216</v>
      </c>
      <c r="C54" s="3428"/>
      <c r="D54" s="182">
        <f ca="1">C68</f>
        <v>16835</v>
      </c>
      <c r="E54" s="30" t="s">
        <v>2217</v>
      </c>
      <c r="F54" s="184">
        <f>'数据-取费表'!B41</f>
        <v>5.6000000000000001E-2</v>
      </c>
      <c r="G54" s="2483"/>
      <c r="H54" s="2484"/>
      <c r="I54" s="2481"/>
      <c r="J54" s="1808">
        <v>3</v>
      </c>
      <c r="K54" s="3401" t="s">
        <v>2218</v>
      </c>
      <c r="L54" s="3401"/>
      <c r="M54" s="1750">
        <f t="shared" ca="1" si="0"/>
        <v>115007</v>
      </c>
      <c r="N54" s="1808" t="str">
        <f t="shared" si="0"/>
        <v>增值额×税（费）率</v>
      </c>
      <c r="O54" s="1752" t="str">
        <f t="shared" si="0"/>
        <v>——</v>
      </c>
    </row>
    <row r="55" spans="1:35" ht="24" customHeight="1">
      <c r="A55" s="3465" t="s">
        <v>2219</v>
      </c>
      <c r="B55" s="3447"/>
      <c r="C55" s="3447"/>
      <c r="D55" s="185">
        <f ca="1">IF(H55="个人住宅",0,ROUND(D45*I55,0))</f>
        <v>158</v>
      </c>
      <c r="E55" s="11" t="s">
        <v>2220</v>
      </c>
      <c r="F55" s="184">
        <f>IF(H55="正常",I55,"免征")</f>
        <v>5.0000000000000001E-4</v>
      </c>
      <c r="G55" s="2483"/>
      <c r="H55" s="2480" t="s">
        <v>2221</v>
      </c>
      <c r="I55" s="186">
        <f>'数据-取费表'!B49</f>
        <v>5.0000000000000001E-4</v>
      </c>
      <c r="J55" s="1808" t="str">
        <f>IF(H59="非个人房产","",4)</f>
        <v/>
      </c>
      <c r="K55" s="3401" t="str">
        <f>IF(H59="非个人房产","——","个人所得税")</f>
        <v>——</v>
      </c>
      <c r="L55" s="3401"/>
      <c r="M55" s="1753" t="str">
        <f>D59</f>
        <v>——</v>
      </c>
      <c r="N55" s="1806" t="str">
        <f>E59</f>
        <v>——</v>
      </c>
      <c r="O55" s="1754" t="str">
        <f>F59</f>
        <v>——</v>
      </c>
    </row>
    <row r="56" spans="1:35" ht="30">
      <c r="A56" s="3465" t="s">
        <v>2222</v>
      </c>
      <c r="B56" s="3447"/>
      <c r="C56" s="3447"/>
      <c r="D56" s="185">
        <f ca="1">IF(H56="个人住宅",D57,D58)</f>
        <v>115007</v>
      </c>
      <c r="E56" s="11" t="s">
        <v>2223</v>
      </c>
      <c r="F56" s="184" t="str">
        <f>IF(H56="正常",F58,"免征")</f>
        <v>——</v>
      </c>
      <c r="G56" s="2485" t="s">
        <v>2224</v>
      </c>
      <c r="H56" s="2486" t="s">
        <v>2221</v>
      </c>
      <c r="I56" s="2487"/>
      <c r="J56" s="1808" t="str">
        <f>IF(项目基本情况!K6="上海银行",IF(J55="",4,J55+1),"")</f>
        <v/>
      </c>
      <c r="K56" s="3384" t="str">
        <f>IF(项目基本情况!K6="上海银行","其他处置费用","")</f>
        <v/>
      </c>
      <c r="L56" s="3385"/>
      <c r="M56" s="1750" t="str">
        <f>IF(项目基本情况!K6="上海银行",M69,"")</f>
        <v/>
      </c>
      <c r="N56" s="3387" t="str">
        <f>IF(项目基本情况!K6="上海银行","包含处置中涉及的律师、诉讼、拍卖、评估等费用","")</f>
        <v/>
      </c>
      <c r="O56" s="3388"/>
    </row>
    <row r="57" spans="1:35" ht="15">
      <c r="A57" s="183" t="s">
        <v>2197</v>
      </c>
      <c r="B57" s="3432" t="s">
        <v>2225</v>
      </c>
      <c r="C57" s="3433"/>
      <c r="D57" s="187">
        <v>0</v>
      </c>
      <c r="E57" s="23" t="s">
        <v>2199</v>
      </c>
      <c r="F57" s="155"/>
      <c r="G57" s="2483"/>
      <c r="H57" s="2487"/>
      <c r="I57" s="2487"/>
      <c r="J57" s="3401">
        <f>IF(AND(J55="",J56=""),4,IF(项目基本情况!K6="上海银行",结果表!J56+1,结果表!J55+1))</f>
        <v>4</v>
      </c>
      <c r="K57" s="3401" t="s">
        <v>2226</v>
      </c>
      <c r="L57" s="2488" t="s">
        <v>2227</v>
      </c>
      <c r="M57" s="1755"/>
      <c r="N57" s="1756">
        <f ca="1">SUMIF(M52:M56,"&lt;9e307")</f>
        <v>132000</v>
      </c>
      <c r="O57" s="2489"/>
      <c r="P57" s="1749">
        <f ca="1">N57/M49</f>
        <v>0.41816747607416771</v>
      </c>
    </row>
    <row r="58" spans="1:35" ht="30">
      <c r="A58" s="183" t="s">
        <v>2208</v>
      </c>
      <c r="B58" s="3432" t="s">
        <v>2228</v>
      </c>
      <c r="C58" s="3445"/>
      <c r="D58" s="185">
        <f ca="1">IF(H58="转让取得",C81,C97)</f>
        <v>115007</v>
      </c>
      <c r="E58" s="11" t="s">
        <v>2223</v>
      </c>
      <c r="F58" s="24" t="s">
        <v>34</v>
      </c>
      <c r="G58" s="2483"/>
      <c r="H58" s="2486" t="s">
        <v>2229</v>
      </c>
      <c r="I58" s="2487"/>
      <c r="J58" s="3401"/>
      <c r="K58" s="3401"/>
      <c r="L58" s="2488" t="s">
        <v>2230</v>
      </c>
      <c r="M58" s="1757"/>
      <c r="N58" s="2490" t="str">
        <f ca="1">NUMBERSTRING(INT(N57*10000),2)&amp;"元整"</f>
        <v>壹拾叁亿贰仟万元整</v>
      </c>
      <c r="O58" s="2491"/>
    </row>
    <row r="59" spans="1:35" ht="31" thickBot="1">
      <c r="A59" s="3405" t="s">
        <v>2231</v>
      </c>
      <c r="B59" s="3406"/>
      <c r="C59" s="3406"/>
      <c r="D59" s="188" t="str">
        <f>IF(H59="非个人房产","——",IF(H59="个人住宅",0,ROUND(D45*I59,0)))</f>
        <v>——</v>
      </c>
      <c r="E59" s="189" t="str">
        <f>IF(H59="非个人房产","——","销售额×税（费）率")</f>
        <v>——</v>
      </c>
      <c r="F59" s="190" t="str">
        <f>IF(H59="非个人房产","——",IF(H59="个人住宅","免征",I59))</f>
        <v>——</v>
      </c>
      <c r="G59" s="2492" t="s">
        <v>2224</v>
      </c>
      <c r="H59" s="2486" t="s">
        <v>2232</v>
      </c>
      <c r="I59" s="191">
        <v>0.01</v>
      </c>
      <c r="J59" s="3403">
        <f>J57+1</f>
        <v>5</v>
      </c>
      <c r="K59" s="3401" t="s">
        <v>2233</v>
      </c>
      <c r="L59" s="1808" t="s">
        <v>2227</v>
      </c>
      <c r="M59" s="1758"/>
      <c r="N59" s="1759">
        <f ca="1">M49-N57</f>
        <v>183663</v>
      </c>
      <c r="O59" s="2493"/>
    </row>
    <row r="60" spans="1:35" ht="12" customHeight="1">
      <c r="A60" s="2494"/>
      <c r="B60" s="2416"/>
      <c r="C60" s="2416"/>
      <c r="D60" s="2416"/>
      <c r="E60" s="2164"/>
      <c r="F60" s="2487"/>
      <c r="G60" s="2487"/>
      <c r="H60" s="2495"/>
      <c r="I60" s="138"/>
      <c r="J60" s="3404"/>
      <c r="K60" s="3401"/>
      <c r="L60" s="2488" t="s">
        <v>2230</v>
      </c>
      <c r="M60" s="1757"/>
      <c r="N60" s="2490" t="str">
        <f ca="1">NUMBERSTRING(INT(N59*10000),2)&amp;"元整"</f>
        <v>壹拾捌亿叁仟陆佰陆拾叁万元整</v>
      </c>
      <c r="O60" s="2491"/>
    </row>
    <row r="61" spans="1:35" ht="15" thickBot="1">
      <c r="A61" s="3464" t="s">
        <v>2234</v>
      </c>
      <c r="B61" s="3464"/>
      <c r="C61" s="3464"/>
      <c r="D61" s="3464"/>
      <c r="E61" s="3464"/>
      <c r="F61" s="2487"/>
      <c r="G61" s="2487"/>
      <c r="H61" s="2495"/>
      <c r="I61" s="138"/>
      <c r="J61" s="1808">
        <f>J59+1</f>
        <v>6</v>
      </c>
      <c r="K61" s="3401" t="s">
        <v>2235</v>
      </c>
      <c r="L61" s="3401"/>
      <c r="M61" s="1760"/>
      <c r="N61" s="1761">
        <f ca="1">ROUND(N59*10000/'数据-汇总表'!E3,0)</f>
        <v>1848</v>
      </c>
      <c r="O61" s="2496"/>
    </row>
    <row r="62" spans="1:35" ht="15" hidden="1">
      <c r="A62" s="3421" t="s">
        <v>2236</v>
      </c>
      <c r="B62" s="3422"/>
      <c r="C62" s="1800"/>
      <c r="D62" s="1800" t="s">
        <v>2237</v>
      </c>
      <c r="E62" s="192" t="s">
        <v>2238</v>
      </c>
      <c r="F62" s="2487"/>
      <c r="G62" s="2487"/>
      <c r="H62" s="2495"/>
      <c r="I62" s="138"/>
    </row>
    <row r="63" spans="1:35" ht="15" hidden="1">
      <c r="A63" s="203" t="s">
        <v>775</v>
      </c>
      <c r="B63" s="193" t="s">
        <v>2239</v>
      </c>
      <c r="C63" s="194">
        <f ca="1">ROUND((C64+C65)/(1+'数据-取费表'!C42),0)</f>
        <v>300631</v>
      </c>
      <c r="D63" s="195"/>
      <c r="E63" s="196"/>
      <c r="F63" s="2487"/>
      <c r="G63" s="2487"/>
      <c r="H63" s="2495"/>
      <c r="I63" s="138"/>
      <c r="J63" s="3386" t="s">
        <v>2240</v>
      </c>
      <c r="K63" s="2497" t="s">
        <v>2241</v>
      </c>
      <c r="L63" s="1748">
        <f ca="1">IF(M49&gt;10000,M49*0.5%,IF(AND(M49&gt;1000,M49&lt;=10000),M49*1%,IF(AND(M49&gt;100,M49&lt;=1000),M49*3%,IF(AND(M49&gt;10,M49&lt;=100),M49*5%,M49*8%))))</f>
        <v>1578.3150000000001</v>
      </c>
      <c r="M63" s="24">
        <f ca="1">ROUND(L63,1)</f>
        <v>1578.3</v>
      </c>
      <c r="Z63" s="2421"/>
      <c r="AI63" s="2422"/>
    </row>
    <row r="64" spans="1:35" ht="14.25" hidden="1" customHeight="1">
      <c r="A64" s="197" t="s">
        <v>770</v>
      </c>
      <c r="B64" s="198" t="s">
        <v>2242</v>
      </c>
      <c r="C64" s="199">
        <f ca="1">D45</f>
        <v>315663</v>
      </c>
      <c r="D64" s="200" t="s">
        <v>32</v>
      </c>
      <c r="E64" s="201"/>
      <c r="F64" s="2487"/>
      <c r="G64" s="2487"/>
      <c r="H64" s="2495"/>
      <c r="I64" s="138"/>
      <c r="J64" s="3386"/>
      <c r="K64" s="2497" t="s">
        <v>2243</v>
      </c>
      <c r="L64" s="1748">
        <f ca="1">IF(M49&gt;2000,M49*0.5%,IF(AND(M49&gt;1000,M49&lt;=2000),M49*0.6%,IF(AND(M49&gt;500,M49&lt;=1000),M49*0.7%,IF(AND(M49&gt;200,M49&lt;=500),M49*0.8%,IF(AND(M49&gt;100,M49&lt;=200),M49*0.9%,IF(AND(M49&gt;50,M49&lt;=100),M49*1%,IF(AND(M49&gt;20,M49&lt;=50),M49*1.5%,IF(AND(M49&gt;10,M49&lt;=20),M49*2%,IF(AND(M49&gt;1,M49&lt;=10),M49*2.5%)))))))))</f>
        <v>1578.3150000000001</v>
      </c>
      <c r="M64" s="24">
        <f t="shared" ref="M64:M65" ca="1" si="1">ROUND(L64,1)</f>
        <v>1578.3</v>
      </c>
      <c r="N64" s="138" t="s">
        <v>2244</v>
      </c>
      <c r="Z64" s="2421"/>
      <c r="AI64" s="2422"/>
    </row>
    <row r="65" spans="1:35" ht="14.25" hidden="1" customHeight="1">
      <c r="A65" s="197" t="s">
        <v>771</v>
      </c>
      <c r="B65" s="198" t="s">
        <v>2245</v>
      </c>
      <c r="C65" s="202"/>
      <c r="D65" s="200"/>
      <c r="E65" s="201"/>
      <c r="F65" s="2487"/>
      <c r="G65" s="2487"/>
      <c r="H65" s="2495"/>
      <c r="I65" s="138"/>
      <c r="J65" s="3386"/>
      <c r="K65" s="2497" t="s">
        <v>2246</v>
      </c>
      <c r="L65" s="1748">
        <f ca="1">IF(M49&gt;1000,M49*0.1%,IF(AND(M49&gt;500,M49&lt;=1000),M49*0.5%,IF(AND(M49&gt;50,M49&lt;=500),M49*1%,IF(AND(M49&gt;1,M49&lt;=50),M49*1.5%))))</f>
        <v>315.66300000000001</v>
      </c>
      <c r="M65" s="24">
        <f t="shared" ca="1" si="1"/>
        <v>315.7</v>
      </c>
      <c r="N65" s="138" t="s">
        <v>2244</v>
      </c>
      <c r="Z65" s="2421"/>
      <c r="AI65" s="2422"/>
    </row>
    <row r="66" spans="1:35" ht="14.25" hidden="1" customHeight="1">
      <c r="A66" s="203" t="s">
        <v>772</v>
      </c>
      <c r="B66" s="204" t="s">
        <v>2247</v>
      </c>
      <c r="C66" s="205"/>
      <c r="D66" s="206" t="s">
        <v>32</v>
      </c>
      <c r="E66" s="1772" t="s">
        <v>1366</v>
      </c>
      <c r="F66" s="2487"/>
      <c r="G66" s="2487"/>
      <c r="H66" s="2495"/>
      <c r="I66" s="138"/>
      <c r="J66" s="3386"/>
      <c r="K66" s="2497" t="s">
        <v>2248</v>
      </c>
      <c r="L66" s="1748">
        <f ca="1">M49*0.5%</f>
        <v>1578.3150000000001</v>
      </c>
      <c r="M66" s="24">
        <f ca="1">IF(L66&gt;0.5,0.5,ROUND(L66,0))</f>
        <v>0.5</v>
      </c>
      <c r="N66" s="138" t="s">
        <v>2249</v>
      </c>
      <c r="Z66" s="2421"/>
      <c r="AI66" s="2422"/>
    </row>
    <row r="67" spans="1:35" ht="14.25" hidden="1" customHeight="1">
      <c r="A67" s="203" t="s">
        <v>773</v>
      </c>
      <c r="B67" s="204" t="s">
        <v>2250</v>
      </c>
      <c r="C67" s="207">
        <f ca="1">C63-C66</f>
        <v>300631</v>
      </c>
      <c r="D67" s="200" t="s">
        <v>32</v>
      </c>
      <c r="E67" s="201"/>
      <c r="F67" s="2487"/>
      <c r="G67" s="2487"/>
      <c r="H67" s="2495"/>
      <c r="I67" s="138"/>
      <c r="J67" s="3386"/>
      <c r="K67" s="2497" t="s">
        <v>2251</v>
      </c>
      <c r="L67" s="1748">
        <f ca="1">IF(M49&gt;=10000,(8.25+(M49-10000)*0.01%),IF(AND(M49&gt;=8000,M49&lt;10000),(7.85+(M49-8000)*0.02%),IF(AND(M49&gt;=5000,M49&lt;8000),(6.65+(M49-5000)*0.04%),IF(AND(M49&gt;=2000,M49&lt;5000),(4.25+(PM49-2000)*0.08%),IF(AND(M49&gt;=1000,M49&lt;2000),(2.75+(M49-1000)*0.15%),IF(AND(M49&gt;=100,M49&lt;1000),(0.5+(M49-100)*0.25%),IF(AND(M49&gt;0,M49&lt;100),M49*0.5%)))))))</f>
        <v>38.816299999999998</v>
      </c>
      <c r="M67" s="24">
        <f ca="1">ROUND(L67*0.9,1)</f>
        <v>34.9</v>
      </c>
      <c r="Z67" s="2421"/>
      <c r="AI67" s="2422"/>
    </row>
    <row r="68" spans="1:35" ht="14.25" hidden="1" customHeight="1" thickBot="1">
      <c r="A68" s="208" t="s">
        <v>774</v>
      </c>
      <c r="B68" s="209" t="s">
        <v>2252</v>
      </c>
      <c r="C68" s="210">
        <f ca="1">IF(C67&lt;=0,0,ROUND(C67*D68,0))</f>
        <v>16835</v>
      </c>
      <c r="D68" s="211">
        <f>'数据-取费表'!B41</f>
        <v>5.6000000000000001E-2</v>
      </c>
      <c r="E68" s="212"/>
      <c r="F68" s="2487"/>
      <c r="G68" s="2487"/>
      <c r="H68" s="2495"/>
      <c r="I68" s="138"/>
      <c r="J68" s="3386"/>
      <c r="K68" s="2497" t="s">
        <v>2253</v>
      </c>
      <c r="L68" s="1748">
        <f ca="1">IF(M49&gt;10000,M49*0.5%,IF(AND(M49&gt;5000,M49&lt;=10000),M49*1%,IF(AND(M49&gt;1000,M49&lt;=5000),M49*2%,IF(AND(M49&gt;200,M49&lt;=1000),M49*3%,M49*5%))))</f>
        <v>1578.3150000000001</v>
      </c>
      <c r="M68" s="24">
        <f ca="1">ROUND(L68,1)</f>
        <v>1578.3</v>
      </c>
      <c r="Z68" s="2421"/>
      <c r="AI68" s="2422"/>
    </row>
    <row r="69" spans="1:35" s="2444" customFormat="1" ht="16.5" hidden="1" customHeight="1">
      <c r="A69" s="2498"/>
      <c r="B69" s="2499"/>
      <c r="C69" s="2500"/>
      <c r="D69" s="2501"/>
      <c r="E69" s="2502"/>
      <c r="F69" s="2164"/>
      <c r="G69" s="2164"/>
      <c r="H69" s="2163"/>
      <c r="I69" s="2416"/>
      <c r="J69" s="3386"/>
      <c r="K69" s="2497" t="s">
        <v>2254</v>
      </c>
      <c r="L69" s="2503"/>
      <c r="M69" s="24">
        <f ca="1">ROUND(SUM(M63:M68),0)</f>
        <v>5086</v>
      </c>
      <c r="N69" s="1749">
        <f ca="1">M69/M49</f>
        <v>1.6112119570554674E-2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430" t="s">
        <v>2255</v>
      </c>
      <c r="B70" s="3431"/>
      <c r="C70" s="3431"/>
      <c r="D70" s="3431"/>
      <c r="E70" s="3431"/>
      <c r="F70" s="3431"/>
      <c r="G70" s="3431"/>
      <c r="H70" s="343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5" hidden="1">
      <c r="A71" s="3421" t="s">
        <v>2236</v>
      </c>
      <c r="B71" s="3422"/>
      <c r="C71" s="1800"/>
      <c r="D71" s="1800" t="s">
        <v>2237</v>
      </c>
      <c r="E71" s="213" t="s">
        <v>2238</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5" hidden="1">
      <c r="A72" s="203" t="s">
        <v>775</v>
      </c>
      <c r="B72" s="204" t="s">
        <v>2256</v>
      </c>
      <c r="C72" s="207">
        <f ca="1">ROUND(D45/(1+'数据-取费表'!C42),0)</f>
        <v>300631</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5" hidden="1">
      <c r="A73" s="203" t="s">
        <v>772</v>
      </c>
      <c r="B73" s="173" t="s">
        <v>2257</v>
      </c>
      <c r="C73" s="207">
        <f ca="1">C74+C78</f>
        <v>1804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30" hidden="1">
      <c r="A74" s="217" t="s">
        <v>770</v>
      </c>
      <c r="B74" s="198" t="s">
        <v>2258</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5" hidden="1">
      <c r="A75" s="217" t="s">
        <v>776</v>
      </c>
      <c r="B75" s="198" t="s">
        <v>2259</v>
      </c>
      <c r="C75" s="218"/>
      <c r="D75" s="200" t="s">
        <v>32</v>
      </c>
      <c r="E75" s="219" t="s">
        <v>2260</v>
      </c>
      <c r="F75" s="2509" t="s">
        <v>2261</v>
      </c>
      <c r="G75" s="219" t="s">
        <v>2262</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2263</v>
      </c>
      <c r="C76" s="200">
        <f>IF(F75="购房发票",ROUND(C75*H75*D76,0),0)</f>
        <v>0</v>
      </c>
      <c r="D76" s="222">
        <v>0.05</v>
      </c>
      <c r="E76" s="3427" t="s">
        <v>2264</v>
      </c>
      <c r="F76" s="3426"/>
      <c r="G76" s="3426"/>
      <c r="H76" s="342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1" t="s">
        <v>2267</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2268</v>
      </c>
      <c r="C78" s="225">
        <f ca="1">ROUND(D45*D78/(1+'数据-取费表'!C42),0)</f>
        <v>1804</v>
      </c>
      <c r="D78" s="226">
        <f>'数据-取费表'!B43</f>
        <v>6.000000000000001E-3</v>
      </c>
      <c r="E78" s="3418" t="s">
        <v>2269</v>
      </c>
      <c r="F78" s="3419"/>
      <c r="G78" s="3419"/>
      <c r="H78" s="342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5" hidden="1">
      <c r="A79" s="2513" t="s">
        <v>779</v>
      </c>
      <c r="B79" s="204" t="s">
        <v>2270</v>
      </c>
      <c r="C79" s="207">
        <f ca="1">C72-C73</f>
        <v>298827</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30" hidden="1">
      <c r="A80" s="2513" t="s">
        <v>780</v>
      </c>
      <c r="B80" s="204" t="s">
        <v>2271</v>
      </c>
      <c r="C80" s="227">
        <f ca="1">IF(C79&lt;=0,0,C79/C73)</f>
        <v>165.6468957871397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16" hidden="1" thickBot="1">
      <c r="A81" s="2514" t="s">
        <v>781</v>
      </c>
      <c r="B81" s="209" t="s">
        <v>2272</v>
      </c>
      <c r="C81" s="228">
        <f ca="1">ROUND(IF(C79&lt;=0,0,IF(C80&gt;=200%,C79*60%-C73*35%,IF(C80&gt;=100%,C79*50%-C73*15%,IF(C80&gt;=50%,C79*40%-C73*5%,IF(C80&lt;50%,C79*30%,0))))),0)</f>
        <v>178665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430" t="s">
        <v>2273</v>
      </c>
      <c r="B83" s="3431"/>
      <c r="C83" s="3431"/>
      <c r="D83" s="3431"/>
      <c r="E83" s="3431"/>
      <c r="F83" s="3431"/>
      <c r="G83" s="3431"/>
      <c r="H83" s="343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5">
      <c r="A84" s="3421" t="s">
        <v>2236</v>
      </c>
      <c r="B84" s="3422"/>
      <c r="C84" s="1800"/>
      <c r="D84" s="1800" t="s">
        <v>2237</v>
      </c>
      <c r="E84" s="213" t="s">
        <v>2238</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5">
      <c r="A85" s="203" t="s">
        <v>775</v>
      </c>
      <c r="B85" s="204" t="s">
        <v>2256</v>
      </c>
      <c r="C85" s="207">
        <f ca="1">ROUND(D45/(1+'数据-取费表'!C42),0)</f>
        <v>300631</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5">
      <c r="A86" s="203" t="s">
        <v>772</v>
      </c>
      <c r="B86" s="173" t="s">
        <v>2257</v>
      </c>
      <c r="C86" s="207">
        <f ca="1">IF(H88="仅含出让金",C87+C90+C91+C92+C93+C94,C87+C91+C92+C93+C94)</f>
        <v>68811.756495841415</v>
      </c>
      <c r="D86" s="235"/>
      <c r="E86" s="1799"/>
      <c r="F86" s="1793"/>
      <c r="G86" s="1793"/>
      <c r="H86" s="234"/>
      <c r="I86" s="2510"/>
      <c r="J86" s="2506"/>
      <c r="K86" s="2506">
        <f ca="1">C97+[2]结果表!$C$97+[3]结果表!$C$97+[4]结果表!$C$97+[1]结果表!$C$97</f>
        <v>129028</v>
      </c>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5">
      <c r="A87" s="217" t="s">
        <v>770</v>
      </c>
      <c r="B87" s="198" t="s">
        <v>2274</v>
      </c>
      <c r="C87" s="225">
        <f>C88+C89</f>
        <v>44328.386772575184</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5">
      <c r="A88" s="217" t="s">
        <v>776</v>
      </c>
      <c r="B88" s="198" t="s">
        <v>2275</v>
      </c>
      <c r="C88" s="236">
        <f>抵押物汇总!N42*'数据-汇总表'!F31/10000</f>
        <v>43016.386772575184</v>
      </c>
      <c r="D88" s="226"/>
      <c r="E88" s="237" t="s">
        <v>2276</v>
      </c>
      <c r="F88" s="1796"/>
      <c r="G88" s="238" t="s">
        <v>2277</v>
      </c>
      <c r="H88" s="2515" t="s">
        <v>4311</v>
      </c>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5">
      <c r="A89" s="217" t="s">
        <v>777</v>
      </c>
      <c r="B89" s="198" t="s">
        <v>2265</v>
      </c>
      <c r="C89" s="225">
        <f>ROUND(C88*D89,0)</f>
        <v>1312</v>
      </c>
      <c r="D89" s="226">
        <f>'数据-取费表'!B48+'数据-取费表'!B49</f>
        <v>3.0499999999999999E-2</v>
      </c>
      <c r="E89" s="237" t="s">
        <v>2278</v>
      </c>
      <c r="F89" s="1796"/>
      <c r="G89" s="1796"/>
      <c r="H89" s="1798"/>
      <c r="I89" s="2510"/>
      <c r="J89" s="2506"/>
      <c r="K89" s="2506">
        <f ca="1">系统读取表!B5-结果表!K86</f>
        <v>284272</v>
      </c>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5">
      <c r="A90" s="217" t="s">
        <v>771</v>
      </c>
      <c r="B90" s="198" t="s">
        <v>2279</v>
      </c>
      <c r="C90" s="236">
        <f>抵押物汇总!O42*'数据-汇总表'!F31/10000</f>
        <v>14036.369723266233</v>
      </c>
      <c r="D90" s="226"/>
      <c r="E90" s="237" t="str">
        <f>IF(H88="-","土地取得成本中已包含该笔费用"," ")</f>
        <v xml:space="preserve"> </v>
      </c>
      <c r="F90" s="1796"/>
      <c r="G90" s="1796"/>
      <c r="H90" s="1798"/>
      <c r="I90" s="2510"/>
      <c r="J90" s="2506"/>
      <c r="K90" s="2506">
        <f ca="1">K89*0.85</f>
        <v>241631.19999999998</v>
      </c>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2280</v>
      </c>
      <c r="B91" s="198" t="s">
        <v>2281</v>
      </c>
      <c r="C91" s="225">
        <f>IF(H91="——",成本法!C33,I91)</f>
        <v>0</v>
      </c>
      <c r="D91" s="226"/>
      <c r="E91" s="3418" t="s">
        <v>2282</v>
      </c>
      <c r="F91" s="3419"/>
      <c r="G91" s="3419"/>
      <c r="H91" s="2516" t="s">
        <v>2283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2284</v>
      </c>
      <c r="B92" s="198" t="s">
        <v>2285</v>
      </c>
      <c r="C92" s="225">
        <f>ROUND((C87+C90+C91)*D92,0)</f>
        <v>5836</v>
      </c>
      <c r="D92" s="226">
        <v>0.1</v>
      </c>
      <c r="E92" s="3418" t="s">
        <v>2286</v>
      </c>
      <c r="F92" s="3419"/>
      <c r="G92" s="3419"/>
      <c r="H92" s="342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2287</v>
      </c>
      <c r="B93" s="198" t="s">
        <v>2268</v>
      </c>
      <c r="C93" s="225">
        <f ca="1">ROUND(D45*D93/(1+'数据-取费表'!C42),0)</f>
        <v>1804</v>
      </c>
      <c r="D93" s="226">
        <f>'数据-取费表'!B43</f>
        <v>6.000000000000001E-3</v>
      </c>
      <c r="E93" s="3418" t="s">
        <v>2269</v>
      </c>
      <c r="F93" s="3419"/>
      <c r="G93" s="3419"/>
      <c r="H93" s="342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2288</v>
      </c>
      <c r="B94" s="198" t="s">
        <v>2289</v>
      </c>
      <c r="C94" s="236">
        <f>ROUND(C90*D94,0)</f>
        <v>2807</v>
      </c>
      <c r="D94" s="226">
        <v>0.2</v>
      </c>
      <c r="E94" s="3466" t="s">
        <v>2290</v>
      </c>
      <c r="F94" s="3467"/>
      <c r="G94" s="3467"/>
      <c r="H94" s="346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5">
      <c r="A95" s="2513" t="s">
        <v>779</v>
      </c>
      <c r="B95" s="204" t="s">
        <v>2270</v>
      </c>
      <c r="C95" s="207">
        <f ca="1">ROUND(C85-C86,0)</f>
        <v>231819</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30">
      <c r="A96" s="2513" t="s">
        <v>780</v>
      </c>
      <c r="B96" s="204" t="s">
        <v>2271</v>
      </c>
      <c r="C96" s="227">
        <f ca="1">IF(C95&lt;=0,0,C95/C86)</f>
        <v>3.3688865363291489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3151"/>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16" thickBot="1">
      <c r="A97" s="2514" t="s">
        <v>781</v>
      </c>
      <c r="B97" s="209" t="s">
        <v>2272</v>
      </c>
      <c r="C97" s="228">
        <f ca="1">ROUND(IF(C95&lt;=0,0,IF(C96&gt;=200%,C95*60%-C86*35%,IF(C96&gt;=100%,C95*50%-C86*15%,IF(C96&gt;=50%,C95*40%-C86*5%,IF(C96&lt;50%,C95*30%,0))))),0)</f>
        <v>115007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2291</v>
      </c>
      <c r="B99" s="2416"/>
      <c r="C99" s="2416"/>
      <c r="D99" s="2416"/>
      <c r="E99" s="2164"/>
      <c r="F99" s="2164"/>
      <c r="G99" s="2164"/>
      <c r="H99" s="2163"/>
      <c r="I99" s="138"/>
    </row>
    <row r="100" spans="1:35" ht="18.75" customHeight="1">
      <c r="A100" s="3366" t="s">
        <v>2292</v>
      </c>
      <c r="B100" s="3367"/>
      <c r="C100" s="3367"/>
      <c r="D100" s="3402"/>
      <c r="E100" s="3367" t="s">
        <v>2293</v>
      </c>
      <c r="F100" s="3367"/>
      <c r="G100" s="3367"/>
      <c r="H100" s="3402"/>
      <c r="I100" s="138"/>
    </row>
    <row r="101" spans="1:35" ht="18.75" customHeight="1">
      <c r="A101" s="3410" t="s">
        <v>2294</v>
      </c>
      <c r="B101" s="3411"/>
      <c r="C101" s="736" t="str">
        <f>C4</f>
        <v>土地比较法-住宅</v>
      </c>
      <c r="D101" s="737" t="str">
        <f>D4</f>
        <v>假设开发法</v>
      </c>
      <c r="E101" s="3382" t="s">
        <v>2295</v>
      </c>
      <c r="F101" s="3383"/>
      <c r="G101" s="2518" t="s">
        <v>2296</v>
      </c>
      <c r="H101" s="1045">
        <f ca="1">H118</f>
        <v>315663</v>
      </c>
      <c r="I101" s="138"/>
    </row>
    <row r="102" spans="1:35" ht="18.75" customHeight="1">
      <c r="A102" s="3412" t="s">
        <v>2297</v>
      </c>
      <c r="B102" s="2518" t="s">
        <v>2296</v>
      </c>
      <c r="C102" s="736">
        <f ca="1">C19</f>
        <v>321788</v>
      </c>
      <c r="D102" s="737">
        <f ca="1">D19</f>
        <v>309538</v>
      </c>
      <c r="E102" s="3382"/>
      <c r="F102" s="3383"/>
      <c r="G102" s="2518" t="s">
        <v>2298</v>
      </c>
      <c r="H102" s="371">
        <f ca="1">I118</f>
        <v>3176</v>
      </c>
      <c r="I102" s="138"/>
    </row>
    <row r="103" spans="1:35" ht="42.75" customHeight="1">
      <c r="A103" s="3412"/>
      <c r="B103" s="2518" t="s">
        <v>2298</v>
      </c>
      <c r="C103" s="738">
        <f ca="1">C20</f>
        <v>3238</v>
      </c>
      <c r="D103" s="739">
        <f ca="1">D20</f>
        <v>3114</v>
      </c>
      <c r="E103" s="3376" t="s">
        <v>2299</v>
      </c>
      <c r="F103" s="3377"/>
      <c r="G103" s="2519" t="s">
        <v>2300</v>
      </c>
      <c r="H103" s="1045">
        <f>IF(D36="正常操作",H104+H105+H106,H105+H106)</f>
        <v>0</v>
      </c>
      <c r="I103" s="138"/>
    </row>
    <row r="104" spans="1:35" ht="18.75" customHeight="1">
      <c r="A104" s="3412" t="s">
        <v>2301</v>
      </c>
      <c r="B104" s="2520" t="s">
        <v>2296</v>
      </c>
      <c r="C104" s="740">
        <f ca="1">H118</f>
        <v>315663</v>
      </c>
      <c r="D104" s="741"/>
      <c r="E104" s="2265" t="s">
        <v>2302</v>
      </c>
      <c r="F104" s="2256"/>
      <c r="G104" s="2519" t="s">
        <v>2300</v>
      </c>
      <c r="H104" s="1046">
        <f>IF(D36="同一抵押权人同一抵押物续贷",C36&amp;"（未扣减，详见特别提示）",C36)</f>
        <v>0</v>
      </c>
      <c r="I104" s="138"/>
    </row>
    <row r="105" spans="1:35" ht="18.75" customHeight="1" thickBot="1">
      <c r="A105" s="3424"/>
      <c r="B105" s="2521" t="s">
        <v>2298</v>
      </c>
      <c r="C105" s="742">
        <f ca="1">I118</f>
        <v>3176</v>
      </c>
      <c r="D105" s="743"/>
      <c r="E105" s="2265" t="s">
        <v>2303</v>
      </c>
      <c r="F105" s="2256"/>
      <c r="G105" s="2519" t="s">
        <v>2300</v>
      </c>
      <c r="H105" s="1046">
        <f>C37</f>
        <v>0</v>
      </c>
      <c r="I105" s="138"/>
    </row>
    <row r="106" spans="1:35" ht="18.75" customHeight="1">
      <c r="A106" s="2416" t="s">
        <v>2304</v>
      </c>
      <c r="B106" s="2416"/>
      <c r="C106" s="2416"/>
      <c r="D106" s="2416"/>
      <c r="E106" s="2522" t="s">
        <v>2305</v>
      </c>
      <c r="F106" s="2256"/>
      <c r="G106" s="2519" t="s">
        <v>2300</v>
      </c>
      <c r="H106" s="1046">
        <f>C38</f>
        <v>0</v>
      </c>
      <c r="I106" s="138"/>
    </row>
    <row r="107" spans="1:35" ht="18.75" customHeight="1">
      <c r="A107" s="138"/>
      <c r="B107" s="138"/>
      <c r="C107" s="138"/>
      <c r="D107" s="138"/>
      <c r="E107" s="3413" t="str">
        <f>IF(项目基本情况!E8="已注销","——","3.房地产抵押价值")</f>
        <v>3.房地产抵押价值</v>
      </c>
      <c r="F107" s="3383"/>
      <c r="G107" s="2518" t="s">
        <v>2296</v>
      </c>
      <c r="H107" s="1045">
        <f ca="1">IF(E107="——","——",H101-H103)</f>
        <v>315663</v>
      </c>
      <c r="I107" s="138"/>
    </row>
    <row r="108" spans="1:35" ht="18.75" customHeight="1">
      <c r="A108" s="138"/>
      <c r="B108" s="138"/>
      <c r="C108" s="138"/>
      <c r="D108" s="138"/>
      <c r="E108" s="3413"/>
      <c r="F108" s="3383"/>
      <c r="G108" s="2518" t="s">
        <v>2298</v>
      </c>
      <c r="H108" s="371">
        <f ca="1">ROUND(H107*10000/'数据-汇总表'!E3,0)</f>
        <v>3176</v>
      </c>
      <c r="I108" s="138"/>
    </row>
    <row r="109" spans="1:35" ht="18.75" customHeight="1">
      <c r="A109" s="138"/>
      <c r="B109" s="138"/>
      <c r="C109" s="138"/>
      <c r="D109" s="138"/>
      <c r="E109" s="3413" t="str">
        <f>IF(项目基本情况!E8="已注销及未注销","4.抵押担保权已注销时的房地产抵押价值",IF(项目基本情况!E8="已注销","3.抵押担保权已注销时的房地产抵押价值","——"))</f>
        <v>4.抵押担保权已注销时的房地产抵押价值</v>
      </c>
      <c r="F109" s="3383"/>
      <c r="G109" s="2518" t="s">
        <v>2296</v>
      </c>
      <c r="H109" s="348">
        <f ca="1">IF(E109="——","——",H101-H105-H106)</f>
        <v>315663</v>
      </c>
      <c r="I109" s="138"/>
    </row>
    <row r="110" spans="1:35" ht="18.75" customHeight="1">
      <c r="A110" s="138"/>
      <c r="B110" s="138"/>
      <c r="C110" s="138"/>
      <c r="D110" s="138"/>
      <c r="E110" s="3413"/>
      <c r="F110" s="3383"/>
      <c r="G110" s="2518" t="s">
        <v>2298</v>
      </c>
      <c r="H110" s="371">
        <f ca="1">IF(H109="——","——",ROUND(H109*10000/'数据-汇总表'!E3,0))</f>
        <v>3176</v>
      </c>
      <c r="I110" s="138"/>
    </row>
    <row r="111" spans="1:35" ht="18.75" customHeight="1">
      <c r="A111" s="138"/>
      <c r="B111" s="138"/>
      <c r="C111" s="138"/>
      <c r="D111" s="138"/>
      <c r="E111" s="3414" t="str">
        <f>IF(项目基本情况!E9="抵押净值",IF(OR(项目基本情况!E8="已注销",项目基本情况!E8="房地产抵押价值"),"4.抵押净值","5.抵押净值"),"——")</f>
        <v>——</v>
      </c>
      <c r="F111" s="3415"/>
      <c r="G111" s="2518" t="s">
        <v>2296</v>
      </c>
      <c r="H111" s="1045" t="str">
        <f>IF(E111="——","——",N59)</f>
        <v>——</v>
      </c>
      <c r="I111" s="138"/>
    </row>
    <row r="112" spans="1:35" ht="18.75" customHeight="1" thickBot="1">
      <c r="A112" s="138"/>
      <c r="B112" s="138"/>
      <c r="C112" s="138"/>
      <c r="D112" s="138"/>
      <c r="E112" s="3416"/>
      <c r="F112" s="3417"/>
      <c r="G112" s="2523" t="s">
        <v>2298</v>
      </c>
      <c r="H112" s="790" t="str">
        <f>IF(E111="——","——",N61)</f>
        <v>——</v>
      </c>
      <c r="I112" s="138"/>
    </row>
    <row r="113" spans="1:11" ht="18.75" customHeight="1">
      <c r="A113" s="138"/>
      <c r="B113" s="138"/>
      <c r="C113" s="138"/>
      <c r="D113" s="138"/>
      <c r="E113" s="3425" t="s">
        <v>2304</v>
      </c>
      <c r="F113" s="3425"/>
      <c r="G113" s="3425"/>
      <c r="H113" s="3425"/>
      <c r="I113" s="138"/>
    </row>
    <row r="114" spans="1:11" ht="3.75" customHeight="1">
      <c r="A114" s="2416"/>
      <c r="B114" s="2416"/>
      <c r="C114" s="2416"/>
      <c r="D114" s="2416"/>
      <c r="E114" s="2494"/>
      <c r="F114" s="2494"/>
      <c r="G114" s="2494"/>
      <c r="H114" s="2494"/>
      <c r="I114" s="2416"/>
    </row>
    <row r="115" spans="1:11" ht="18.75" customHeight="1">
      <c r="A115" s="3438" t="s">
        <v>2306</v>
      </c>
      <c r="B115" s="3439"/>
      <c r="C115" s="3439"/>
      <c r="D115" s="3439"/>
      <c r="E115" s="3439"/>
      <c r="F115" s="3439"/>
      <c r="G115" s="3439"/>
      <c r="H115" s="3439"/>
      <c r="I115" s="3440"/>
    </row>
    <row r="116" spans="1:11" ht="27" customHeight="1">
      <c r="A116" s="3219" t="s">
        <v>2307</v>
      </c>
      <c r="B116" s="3392" t="s">
        <v>3954</v>
      </c>
      <c r="C116" s="3392" t="s">
        <v>4073</v>
      </c>
      <c r="D116" s="3398" t="s">
        <v>2308</v>
      </c>
      <c r="E116" s="3399"/>
      <c r="F116" s="3434" t="s">
        <v>2309</v>
      </c>
      <c r="G116" s="3434"/>
      <c r="H116" s="3219" t="s">
        <v>2310</v>
      </c>
      <c r="I116" s="3219"/>
    </row>
    <row r="117" spans="1:11" ht="18.75" customHeight="1">
      <c r="A117" s="3219"/>
      <c r="B117" s="3393"/>
      <c r="C117" s="3393"/>
      <c r="D117" s="1794" t="s">
        <v>2311</v>
      </c>
      <c r="E117" s="1794" t="s">
        <v>2312</v>
      </c>
      <c r="F117" s="1794" t="s">
        <v>2311</v>
      </c>
      <c r="G117" s="1794" t="s">
        <v>2313</v>
      </c>
      <c r="H117" s="1794" t="s">
        <v>2311</v>
      </c>
      <c r="I117" s="1794" t="s">
        <v>2313</v>
      </c>
    </row>
    <row r="118" spans="1:11" ht="24.75" customHeight="1">
      <c r="A118" s="2524" t="str">
        <f>项目基本情况!S2</f>
        <v>出让国有建设用地使用权</v>
      </c>
      <c r="B118" s="1794">
        <f>M18</f>
        <v>993873.23100000003</v>
      </c>
      <c r="C118" s="1794">
        <f>M19</f>
        <v>535778.54</v>
      </c>
      <c r="D118" s="1794">
        <f ca="1">ROUND(IF(D32="总价",C34,E118*B118/10000),0)</f>
        <v>315663</v>
      </c>
      <c r="E118" s="1794">
        <f ca="1">ROUND(IF(C33="自定义",IF(D32="楼面单价",C34,D118*10000/B118),I118-G118),0)</f>
        <v>3176</v>
      </c>
      <c r="F118" s="1794">
        <f ca="1">ROUND(IF(D32="总价",C35,G118*B118/10000),0)</f>
        <v>0</v>
      </c>
      <c r="G118" s="1794">
        <f ca="1">ROUND(IF(D32="楼面单价",C35,F118*10000/B118),0)</f>
        <v>0</v>
      </c>
      <c r="H118" s="1794">
        <f ca="1">ROUND(IF(D32="总价",C32,I118*B118/10000),0)</f>
        <v>315663</v>
      </c>
      <c r="I118" s="1794">
        <f ca="1">ROUND(IF(D32="楼面单价",C32,H118*10000/B118),0)</f>
        <v>3176</v>
      </c>
    </row>
    <row r="119" spans="1:11" ht="18.75" customHeight="1">
      <c r="A119" s="3219" t="s">
        <v>2314</v>
      </c>
      <c r="B119" s="3219"/>
      <c r="C119" s="3219"/>
      <c r="D119" s="3394" t="str">
        <f ca="1">NUMBERSTRING(INT(D118*10000),2)&amp;"元整"</f>
        <v>叁拾壹亿伍仟陆佰陆拾叁万元整</v>
      </c>
      <c r="E119" s="3395"/>
      <c r="F119" s="3394" t="str">
        <f ca="1">NUMBERSTRING(INT(F118*10000),2)&amp;"元整"</f>
        <v>零元整</v>
      </c>
      <c r="G119" s="3395"/>
      <c r="H119" s="3394" t="str">
        <f ca="1">NUMBERSTRING(INT(H118*10000),2)&amp;"元整"</f>
        <v>叁拾壹亿伍仟陆佰陆拾叁万元整</v>
      </c>
      <c r="I119" s="3395"/>
    </row>
    <row r="120" spans="1:11" ht="18.75" customHeight="1">
      <c r="A120" s="3389" t="str">
        <f>IF(项目基本情况!B9="房地产市场价值","",MID(E103,3,LEN(E103)-2))</f>
        <v/>
      </c>
      <c r="B120" s="3390"/>
      <c r="C120" s="3391"/>
      <c r="D120" s="3389">
        <f>H103</f>
        <v>0</v>
      </c>
      <c r="E120" s="3390"/>
      <c r="F120" s="3390"/>
      <c r="G120" s="3390"/>
      <c r="H120" s="3390"/>
      <c r="I120" s="3391"/>
      <c r="K120" s="2421" t="str">
        <f>IF(D120=0,"故，本次评估不存在"&amp;A120,"故，本次评估"&amp;A120&amp;"为人民币"&amp;D120&amp;"万元整。")</f>
        <v>故，本次评估不存在</v>
      </c>
    </row>
    <row r="121" spans="1:11" ht="18.75" customHeight="1">
      <c r="A121" s="3435" t="s">
        <v>2314</v>
      </c>
      <c r="B121" s="3436"/>
      <c r="C121" s="3437"/>
      <c r="D121" s="3394" t="str">
        <f>IF(D120=0,"零元整",NUMBERSTRING(INT(D120*10000),2)&amp;"元整")</f>
        <v>零元整</v>
      </c>
      <c r="E121" s="3396"/>
      <c r="F121" s="3396"/>
      <c r="G121" s="3396"/>
      <c r="H121" s="3396"/>
      <c r="I121" s="3395"/>
    </row>
    <row r="122" spans="1:11" ht="18.75" customHeight="1">
      <c r="A122" s="3400" t="str">
        <f>IF(项目基本情况!B9="房地产市场价值","",MID(E107,3,LEN(E107)-2))</f>
        <v/>
      </c>
      <c r="B122" s="3400"/>
      <c r="C122" s="3400"/>
      <c r="D122" s="3389">
        <f ca="1">H107</f>
        <v>315663</v>
      </c>
      <c r="E122" s="3390"/>
      <c r="F122" s="3390"/>
      <c r="G122" s="3390"/>
      <c r="H122" s="3390"/>
      <c r="I122" s="3391"/>
    </row>
    <row r="123" spans="1:11" ht="18.75" customHeight="1">
      <c r="A123" s="3219" t="s">
        <v>2314</v>
      </c>
      <c r="B123" s="3219"/>
      <c r="C123" s="3219"/>
      <c r="D123" s="3394" t="str">
        <f ca="1">NUMBERSTRING(INT(D122*10000),2)&amp;"元整"</f>
        <v>叁拾壹亿伍仟陆佰陆拾叁万元整</v>
      </c>
      <c r="E123" s="3396"/>
      <c r="F123" s="3396"/>
      <c r="G123" s="3396"/>
      <c r="H123" s="3396"/>
      <c r="I123" s="3395"/>
    </row>
    <row r="124" spans="1:11" ht="18.75" hidden="1" customHeight="1">
      <c r="A124" s="3400" t="str">
        <f>IF(项目基本情况!B9="房地产市场价值","",MID(E109,3,LEN(E109)-2))</f>
        <v/>
      </c>
      <c r="B124" s="3400"/>
      <c r="C124" s="3400"/>
      <c r="D124" s="3389">
        <f ca="1">H109</f>
        <v>315663</v>
      </c>
      <c r="E124" s="3390"/>
      <c r="F124" s="3390"/>
      <c r="G124" s="3390"/>
      <c r="H124" s="3390"/>
      <c r="I124" s="3391"/>
    </row>
    <row r="125" spans="1:11" ht="18.75" hidden="1" customHeight="1">
      <c r="A125" s="3219" t="s">
        <v>2314</v>
      </c>
      <c r="B125" s="3219"/>
      <c r="C125" s="3219"/>
      <c r="D125" s="3394" t="str">
        <f ca="1">NUMBERSTRING(INT(D124*10000),2)&amp;"元整"</f>
        <v>叁拾壹亿伍仟陆佰陆拾叁万元整</v>
      </c>
      <c r="E125" s="3396"/>
      <c r="F125" s="3396"/>
      <c r="G125" s="3396"/>
      <c r="H125" s="3396"/>
      <c r="I125" s="3395"/>
    </row>
    <row r="126" spans="1:11" ht="18.75" hidden="1" customHeight="1">
      <c r="A126" s="3400" t="str">
        <f>IF(项目基本情况!B9="房地产市场价值","",MID(E111,3,LEN(E111)-2))</f>
        <v/>
      </c>
      <c r="B126" s="3400"/>
      <c r="C126" s="3400"/>
      <c r="D126" s="3389" t="str">
        <f>H111</f>
        <v>——</v>
      </c>
      <c r="E126" s="3390"/>
      <c r="F126" s="3390"/>
      <c r="G126" s="3390"/>
      <c r="H126" s="3390"/>
      <c r="I126" s="3391"/>
    </row>
    <row r="127" spans="1:11" ht="18.75" hidden="1" customHeight="1">
      <c r="A127" s="3219" t="s">
        <v>2314</v>
      </c>
      <c r="B127" s="3219"/>
      <c r="C127" s="3219"/>
      <c r="D127" s="3394" t="e">
        <f>NUMBERSTRING(INT(D126*10000),2)&amp;"元整"</f>
        <v>#VALUE!</v>
      </c>
      <c r="E127" s="3396"/>
      <c r="F127" s="3396"/>
      <c r="G127" s="3396"/>
      <c r="H127" s="3396"/>
      <c r="I127" s="3395"/>
    </row>
    <row r="128" spans="1:11" ht="21.75" customHeight="1">
      <c r="A128" s="3397" t="s">
        <v>2315</v>
      </c>
      <c r="B128" s="3397"/>
      <c r="C128" s="3397"/>
      <c r="D128" s="3397"/>
      <c r="E128" s="3397"/>
      <c r="F128" s="3397"/>
      <c r="G128" s="3397"/>
      <c r="H128" s="3397"/>
      <c r="I128" s="3397"/>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800-000000000000}">
      <formula1>估价方法</formula1>
    </dataValidation>
    <dataValidation type="list" allowBlank="1" showInputMessage="1" showErrorMessage="1" sqref="H55:H56" xr:uid="{00000000-0002-0000-1800-000001000000}">
      <formula1>"个人住宅,正常"</formula1>
    </dataValidation>
    <dataValidation type="list" allowBlank="1" showInputMessage="1" showErrorMessage="1" sqref="H48" xr:uid="{00000000-0002-0000-1800-000002000000}">
      <formula1>"情况1,情况2,情况3,情况4"</formula1>
    </dataValidation>
    <dataValidation type="list" allowBlank="1" showInputMessage="1" showErrorMessage="1" sqref="H58" xr:uid="{00000000-0002-0000-1800-000003000000}">
      <formula1>"转让取得,自行开发建设"</formula1>
    </dataValidation>
    <dataValidation type="list" allowBlank="1" showInputMessage="1" showErrorMessage="1" sqref="D32" xr:uid="{00000000-0002-0000-1800-000004000000}">
      <formula1>"总价,楼面单价"</formula1>
    </dataValidation>
    <dataValidation type="list" allowBlank="1" showInputMessage="1" showErrorMessage="1" sqref="F45" xr:uid="{00000000-0002-0000-1800-000005000000}">
      <formula1>"100%,80%,60%,64%"</formula1>
    </dataValidation>
    <dataValidation type="list" allowBlank="1" showInputMessage="1" showErrorMessage="1" sqref="C33" xr:uid="{00000000-0002-0000-1800-000006000000}">
      <formula1>"成本比率,收益比率,自定义"</formula1>
    </dataValidation>
    <dataValidation type="list" allowBlank="1" showInputMessage="1" showErrorMessage="1" sqref="H91" xr:uid="{00000000-0002-0000-1800-000007000000}">
      <formula1>"企业提供（在右侧录入）,——"</formula1>
    </dataValidation>
    <dataValidation type="list" allowBlank="1" showInputMessage="1" showErrorMessage="1" sqref="H88" xr:uid="{00000000-0002-0000-1800-000008000000}">
      <formula1>"仅含出让金,出让金+开发费"</formula1>
    </dataValidation>
    <dataValidation type="list" allowBlank="1" showInputMessage="1" showErrorMessage="1" sqref="F75" xr:uid="{00000000-0002-0000-1800-000009000000}">
      <formula1>"买卖合同,购房发票"</formula1>
    </dataValidation>
    <dataValidation type="list" allowBlank="1" showInputMessage="1" showErrorMessage="1" sqref="D36" xr:uid="{00000000-0002-0000-1800-00000A000000}">
      <formula1>"同一抵押权人同一抵押物续贷,注销后放款,正常操作"</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C116:C117" xr:uid="{00000000-0002-0000-1800-00000C000000}">
      <formula1>"土地面积,分摊土地面积,（分摊）土地面积"</formula1>
    </dataValidation>
    <dataValidation type="list" allowBlank="1" showInputMessage="1" showErrorMessage="1" sqref="D116:E116" xr:uid="{00000000-0002-0000-1800-00000D000000}">
      <formula1>"出让国有建设用地使用权价值,划拨国有建设用地使用权价值"</formula1>
    </dataValidation>
    <dataValidation type="list" allowBlank="1" showInputMessage="1" showErrorMessage="1" sqref="F116:G116" xr:uid="{00000000-0002-0000-1800-00000E000000}">
      <formula1>"建筑物价值,在建建筑物价值,建筑物/在建建筑物价值"</formula1>
    </dataValidation>
    <dataValidation type="list" allowBlank="1" showInputMessage="1" showErrorMessage="1" sqref="C129" xr:uid="{00000000-0002-0000-1800-00000F000000}">
      <formula1>"无,有"</formula1>
    </dataValidation>
    <dataValidation type="list" allowBlank="1" showInputMessage="1" showErrorMessage="1" sqref="H59" xr:uid="{00000000-0002-0000-1800-000010000000}">
      <formula1>"非个人房产,个人住宅,个人非住宅"</formula1>
    </dataValidation>
    <dataValidation type="list" showInputMessage="1" showErrorMessage="1" sqref="G1" xr:uid="{00000000-0002-0000-1800-000011000000}">
      <formula1>"现房,在建,土地,-"</formula1>
    </dataValidation>
    <dataValidation type="list" allowBlank="1" showInputMessage="1" showErrorMessage="1" sqref="I1" xr:uid="{00000000-0002-0000-1800-000012000000}">
      <formula1>"项目局部,项目全部,——"</formula1>
    </dataValidation>
    <dataValidation type="list" allowBlank="1" showInputMessage="1" showErrorMessage="1" sqref="C1" xr:uid="{00000000-0002-0000-1800-000013000000}">
      <formula1>项目类型</formula1>
    </dataValidation>
    <dataValidation type="list" allowBlank="1" showInputMessage="1" showErrorMessage="1" sqref="G77" xr:uid="{00000000-0002-0000-1800-000014000000}">
      <formula1>"个人住宅,2016年5月1日前购买,2016年5月1日后购买"</formula1>
    </dataValidation>
    <dataValidation type="list" allowBlank="1" showInputMessage="1" showErrorMessage="1" sqref="E103" xr:uid="{00000000-0002-0000-18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workbookViewId="0">
      <selection activeCell="G24" sqref="G24"/>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2323</v>
      </c>
      <c r="B1" s="1935"/>
      <c r="C1" s="242"/>
      <c r="D1" s="242"/>
      <c r="E1" s="242"/>
      <c r="F1" s="242"/>
      <c r="G1" s="1379">
        <f>MATCH(B1,'数据-取费表'!A6:A16,0)+5</f>
        <v>10</v>
      </c>
    </row>
    <row r="2" spans="1:9" s="244" customFormat="1" ht="18" customHeight="1">
      <c r="A2" s="245" t="s">
        <v>2324</v>
      </c>
      <c r="B2" s="246">
        <f ca="1">IF(D2="——",C52,C52-E2)</f>
        <v>359471</v>
      </c>
      <c r="C2" s="243" t="s">
        <v>2325</v>
      </c>
      <c r="D2" s="2547" t="s">
        <v>70</v>
      </c>
      <c r="E2" s="1440"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3617</v>
      </c>
      <c r="C3" s="243" t="s">
        <v>2327</v>
      </c>
      <c r="D3" s="243"/>
      <c r="E3" s="243"/>
      <c r="F3" s="243"/>
      <c r="G3" s="243"/>
    </row>
    <row r="4" spans="1:9" s="252" customFormat="1" ht="16">
      <c r="A4" s="249" t="s">
        <v>2328</v>
      </c>
      <c r="B4" s="250"/>
      <c r="C4" s="250"/>
      <c r="D4" s="250"/>
      <c r="E4" s="250"/>
      <c r="F4" s="250"/>
      <c r="G4" s="251"/>
    </row>
    <row r="5" spans="1:9" s="258" customFormat="1" ht="13.5" customHeight="1">
      <c r="A5" s="299" t="s">
        <v>2329</v>
      </c>
      <c r="B5" s="254" t="s">
        <v>2330</v>
      </c>
      <c r="C5" s="255">
        <f>C6+C7+C8</f>
        <v>331603</v>
      </c>
      <c r="D5" s="255" t="s">
        <v>2331</v>
      </c>
      <c r="E5" s="256" t="s">
        <v>2332</v>
      </c>
      <c r="F5" s="256" t="s">
        <v>2333</v>
      </c>
      <c r="G5" s="257"/>
    </row>
    <row r="6" spans="1:9" s="258" customFormat="1" ht="13.5" customHeight="1">
      <c r="A6" s="949" t="s">
        <v>2334</v>
      </c>
      <c r="B6" s="259" t="s">
        <v>2335</v>
      </c>
      <c r="C6" s="260">
        <f>'土地比较法-住宅'!B2</f>
        <v>321788</v>
      </c>
      <c r="D6" s="261"/>
      <c r="E6" s="262"/>
      <c r="F6" s="262"/>
      <c r="G6" s="263"/>
    </row>
    <row r="7" spans="1:9" s="258" customFormat="1" ht="13.5" customHeight="1">
      <c r="A7" s="949" t="s">
        <v>2336</v>
      </c>
      <c r="B7" s="259" t="s">
        <v>2337</v>
      </c>
      <c r="C7" s="264">
        <f>ROUND(C6*F7,0)</f>
        <v>9815</v>
      </c>
      <c r="D7" s="264"/>
      <c r="E7" s="262"/>
      <c r="F7" s="265">
        <f>IF(项目基本情况!B8="出让",0,'数据-取费表'!B48+'数据-取费表'!B49)</f>
        <v>3.0499999999999999E-2</v>
      </c>
      <c r="G7" s="263"/>
    </row>
    <row r="8" spans="1:9" s="267" customFormat="1" ht="14">
      <c r="A8" s="949" t="s">
        <v>2338</v>
      </c>
      <c r="B8" s="259" t="s">
        <v>2339</v>
      </c>
      <c r="C8" s="264">
        <f>IF(G8="已包含在土地购买价格中","0",IF(B1="",'数据-取费表'!B29,IF(G9="全部缴纳",C9+C10,H9)))</f>
        <v>0</v>
      </c>
      <c r="D8" s="266"/>
      <c r="E8" s="264"/>
      <c r="F8" s="265"/>
      <c r="G8" s="2550" t="s">
        <v>3439</v>
      </c>
    </row>
    <row r="9" spans="1:9" s="258" customFormat="1" ht="13.5" customHeight="1">
      <c r="A9" s="950" t="s">
        <v>800</v>
      </c>
      <c r="B9" s="268" t="s">
        <v>2340</v>
      </c>
      <c r="C9" s="269">
        <f ca="1">ROUND(D9*E9/10000,0)</f>
        <v>3320</v>
      </c>
      <c r="D9" s="1032">
        <f ca="1">IF(B1="",'数据-汇总表'!E5,IF(INDIRECT("'数据-取费表'!c"&amp;$G$1)="住宅",INDIRECT("'数据-取费表'!k"&amp;$G$1),0))</f>
        <v>510763.67099999991</v>
      </c>
      <c r="E9" s="269">
        <f>'数据-取费表'!B27</f>
        <v>65</v>
      </c>
      <c r="F9" s="265"/>
      <c r="G9" s="2551"/>
      <c r="H9" s="1390"/>
      <c r="I9" s="2552" t="s">
        <v>2341</v>
      </c>
    </row>
    <row r="10" spans="1:9" s="258" customFormat="1" ht="13.5" customHeight="1">
      <c r="A10" s="950" t="s">
        <v>801</v>
      </c>
      <c r="B10" s="268" t="s">
        <v>2342</v>
      </c>
      <c r="C10" s="269">
        <f ca="1">ROUND(D10*E10/10000,0)</f>
        <v>3140</v>
      </c>
      <c r="D10" s="1032">
        <f ca="1">IF(B1="",'数据-汇总表'!E6,IF(INDIRECT("'数据-取费表'!c"&amp;$G$1)="住宅",INDIRECT("'数据-取费表'!s"&amp;$G$1),INDIRECT("'数据-取费表'!k"&amp;$G$1)+INDIRECT("'数据-取费表'!s"&amp;$G$1)))</f>
        <v>483109.56000000011</v>
      </c>
      <c r="E10" s="269">
        <f>'数据-取费表'!B28</f>
        <v>65</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993873.23100000003</v>
      </c>
      <c r="E19" s="255">
        <f>'数据-取费表'!B31</f>
        <v>150</v>
      </c>
      <c r="F19" s="275"/>
      <c r="G19" s="2550" t="s">
        <v>3440</v>
      </c>
    </row>
    <row r="20" spans="1:7" s="258" customFormat="1" ht="13.5" customHeight="1">
      <c r="A20" s="299" t="s">
        <v>2355</v>
      </c>
      <c r="B20" s="254" t="s">
        <v>2356</v>
      </c>
      <c r="C20" s="276">
        <f>ROUND((C5+C19)*F20,0)</f>
        <v>3316</v>
      </c>
      <c r="D20" s="276"/>
      <c r="E20" s="276"/>
      <c r="F20" s="277">
        <f>'数据-取费表'!B37</f>
        <v>0.01</v>
      </c>
      <c r="G20" s="278" t="s">
        <v>2357</v>
      </c>
    </row>
    <row r="21" spans="1:7" s="258" customFormat="1" ht="13.5" customHeight="1">
      <c r="A21" s="299" t="s">
        <v>2358</v>
      </c>
      <c r="B21" s="254" t="s">
        <v>2359</v>
      </c>
      <c r="C21" s="279">
        <f>F21</f>
        <v>1.4999999999999999E-2</v>
      </c>
      <c r="D21" s="280" t="s">
        <v>2360</v>
      </c>
      <c r="E21" s="276"/>
      <c r="F21" s="277">
        <f>'数据-取费表'!B38</f>
        <v>1.4999999999999999E-2</v>
      </c>
      <c r="G21" s="278" t="s">
        <v>2361</v>
      </c>
    </row>
    <row r="22" spans="1:7" s="258" customFormat="1" ht="13.5" customHeight="1">
      <c r="A22" s="299" t="s">
        <v>2362</v>
      </c>
      <c r="B22" s="254" t="s">
        <v>2363</v>
      </c>
      <c r="C22" s="1354">
        <f ca="1">ROUND(SUM(C23:C25),0)</f>
        <v>0</v>
      </c>
      <c r="D22" s="279">
        <f ca="1">C26</f>
        <v>0</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30">
      <c r="A25" s="951" t="s">
        <v>2370</v>
      </c>
      <c r="B25" s="259" t="s">
        <v>2371</v>
      </c>
      <c r="C25" s="1355">
        <f ca="1">ROUND(IF('数据-取费表'!B22&lt;=1,C20*F22*'数据-取费表'!B23/2,C20*(POWER((1+F22),'数据-取费表'!B23/2)-1)),0)</f>
        <v>0</v>
      </c>
      <c r="D25" s="282"/>
      <c r="E25" s="285"/>
      <c r="F25" s="283"/>
      <c r="G25" s="286" t="s">
        <v>2372</v>
      </c>
    </row>
    <row r="26" spans="1:7" s="258" customFormat="1" ht="14">
      <c r="A26" s="951" t="s">
        <v>795</v>
      </c>
      <c r="B26" s="259" t="s">
        <v>2373</v>
      </c>
      <c r="C26" s="282">
        <f ca="1">ROUND(IF('数据-取费表'!B22&lt;=1,F21*F22*'数据-取费表'!B23/2,F21*(POWER((1+F22),'数据-取费表'!B23/2)-1)),4)</f>
        <v>0</v>
      </c>
      <c r="D26" s="282"/>
      <c r="E26" s="285"/>
      <c r="F26" s="283"/>
      <c r="G26" s="287"/>
    </row>
    <row r="27" spans="1:7" s="258" customFormat="1" ht="30">
      <c r="A27" s="299" t="s">
        <v>2374</v>
      </c>
      <c r="B27" s="288" t="s">
        <v>2375</v>
      </c>
      <c r="C27" s="289">
        <f ca="1">C28</f>
        <v>0</v>
      </c>
      <c r="D27" s="279">
        <f ca="1">C29</f>
        <v>0</v>
      </c>
      <c r="E27" s="280" t="s">
        <v>2376</v>
      </c>
      <c r="F27" s="290">
        <f ca="1">IF(B1="",'数据-取费表'!Q16,INDIRECT("'数据-取费表'!q"&amp;$G$1))</f>
        <v>0.18</v>
      </c>
      <c r="G27" s="291" t="s">
        <v>2377</v>
      </c>
    </row>
    <row r="28" spans="1:7" s="258" customFormat="1" ht="13.5" customHeight="1">
      <c r="A28" s="951" t="s">
        <v>791</v>
      </c>
      <c r="B28" s="292" t="s">
        <v>2378</v>
      </c>
      <c r="C28" s="293">
        <f ca="1">ROUND((C5+C19+C20)*F27*'数据-取费表'!B21/'数据-取费表'!B20,0)</f>
        <v>0</v>
      </c>
      <c r="D28" s="279"/>
      <c r="E28" s="280"/>
      <c r="F28" s="290"/>
      <c r="G28" s="291"/>
    </row>
    <row r="29" spans="1:7" s="258" customFormat="1" ht="13.5" customHeight="1">
      <c r="A29" s="951" t="s">
        <v>792</v>
      </c>
      <c r="B29" s="292" t="s">
        <v>2379</v>
      </c>
      <c r="C29" s="282">
        <f ca="1">ROUND(C21*F27*'数据-取费表'!B21/'数据-取费表'!B20,4)</f>
        <v>0</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359471</v>
      </c>
      <c r="D31" s="274"/>
      <c r="E31" s="255"/>
      <c r="F31" s="294"/>
      <c r="G31" s="278" t="s">
        <v>2384</v>
      </c>
    </row>
    <row r="32" spans="1:7" s="252" customFormat="1" ht="16">
      <c r="A32" s="296" t="s">
        <v>2385</v>
      </c>
      <c r="B32" s="297"/>
      <c r="C32" s="297"/>
      <c r="D32" s="297"/>
      <c r="E32" s="297"/>
      <c r="F32" s="297"/>
      <c r="G32" s="298"/>
    </row>
    <row r="33" spans="1:7" s="258" customFormat="1" ht="13.5" customHeight="1">
      <c r="A33" s="299" t="s">
        <v>782</v>
      </c>
      <c r="B33" s="254" t="s">
        <v>2386</v>
      </c>
      <c r="C33" s="300">
        <f ca="1">SUM(C34:C38)</f>
        <v>0</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2388</v>
      </c>
    </row>
    <row r="35" spans="1:7" ht="13.5" customHeight="1">
      <c r="A35" s="951" t="s">
        <v>796</v>
      </c>
      <c r="B35" s="259" t="s">
        <v>2389</v>
      </c>
      <c r="C35" s="264">
        <f ca="1">ROUND(C34*F35,0)</f>
        <v>0</v>
      </c>
      <c r="D35" s="264"/>
      <c r="E35" s="264"/>
      <c r="F35" s="303">
        <f>'数据-取费表'!B33</f>
        <v>0.03</v>
      </c>
      <c r="G35" s="263" t="s">
        <v>2390</v>
      </c>
    </row>
    <row r="36" spans="1:7" ht="30">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2392</v>
      </c>
    </row>
    <row r="37" spans="1:7" s="302" customFormat="1" ht="13.5" customHeight="1">
      <c r="A37" s="951" t="s">
        <v>798</v>
      </c>
      <c r="B37" s="259" t="s">
        <v>2393</v>
      </c>
      <c r="C37" s="293">
        <f ca="1">ROUND(E37*D37*F34/10000,0)</f>
        <v>0</v>
      </c>
      <c r="D37" s="261">
        <f ca="1">D19</f>
        <v>993873.23100000003</v>
      </c>
      <c r="E37" s="293">
        <f>'数据-取费表'!B35</f>
        <v>200</v>
      </c>
      <c r="F37" s="303"/>
      <c r="G37" s="305" t="s">
        <v>2394</v>
      </c>
    </row>
    <row r="38" spans="1:7" ht="13.5" customHeight="1">
      <c r="A38" s="951" t="s">
        <v>799</v>
      </c>
      <c r="B38" s="259" t="s">
        <v>2395</v>
      </c>
      <c r="C38" s="264">
        <f ca="1">ROUND(C34*F38,0)</f>
        <v>0</v>
      </c>
      <c r="D38" s="264"/>
      <c r="E38" s="264"/>
      <c r="F38" s="303">
        <f>'数据-取费表'!B36</f>
        <v>1.4999999999999999E-2</v>
      </c>
      <c r="G38" s="263" t="s">
        <v>2390</v>
      </c>
    </row>
    <row r="39" spans="1:7" s="258" customFormat="1" ht="13.5" customHeight="1">
      <c r="A39" s="299" t="s">
        <v>2396</v>
      </c>
      <c r="B39" s="254" t="s">
        <v>2397</v>
      </c>
      <c r="C39" s="276">
        <f ca="1">ROUND(C33*F20,0)</f>
        <v>0</v>
      </c>
      <c r="D39" s="276"/>
      <c r="E39" s="276"/>
      <c r="F39" s="277"/>
      <c r="G39" s="278" t="s">
        <v>2398</v>
      </c>
    </row>
    <row r="40" spans="1:7" s="258" customFormat="1" ht="13.5" customHeight="1">
      <c r="A40" s="299" t="s">
        <v>2399</v>
      </c>
      <c r="B40" s="254" t="s">
        <v>2400</v>
      </c>
      <c r="C40" s="1727">
        <f>F21</f>
        <v>1.4999999999999999E-2</v>
      </c>
      <c r="D40" s="280" t="s">
        <v>2401</v>
      </c>
      <c r="E40" s="276"/>
      <c r="F40" s="277"/>
      <c r="G40" s="278" t="s">
        <v>2402</v>
      </c>
    </row>
    <row r="41" spans="1:7" s="258" customFormat="1" ht="13.5" customHeight="1">
      <c r="A41" s="299" t="s">
        <v>2403</v>
      </c>
      <c r="B41" s="254" t="s">
        <v>2404</v>
      </c>
      <c r="C41" s="276">
        <f ca="1">ROUND(SUM(C42:C43),0)</f>
        <v>0</v>
      </c>
      <c r="D41" s="279">
        <f ca="1">C44</f>
        <v>0</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0</v>
      </c>
      <c r="D42" s="282"/>
      <c r="E42" s="282"/>
      <c r="F42" s="283"/>
      <c r="G42" s="3469" t="s">
        <v>2406</v>
      </c>
    </row>
    <row r="43" spans="1:7" ht="13.5" customHeight="1">
      <c r="A43" s="951" t="s">
        <v>792</v>
      </c>
      <c r="B43" s="259" t="s">
        <v>2407</v>
      </c>
      <c r="C43" s="282">
        <f ca="1">ROUND(IF('数据-取费表'!B22&lt;=1,C39*F22*'数据-取费表'!B21/2,C39*(POWER((1+F22),'数据-取费表'!B21/2)-1)),0)</f>
        <v>0</v>
      </c>
      <c r="D43" s="282"/>
      <c r="E43" s="282"/>
      <c r="F43" s="283"/>
      <c r="G43" s="3470"/>
    </row>
    <row r="44" spans="1:7" ht="13.5" customHeight="1">
      <c r="A44" s="951" t="s">
        <v>793</v>
      </c>
      <c r="B44" s="259" t="s">
        <v>2408</v>
      </c>
      <c r="C44" s="282">
        <f ca="1">ROUND(IF('数据-取费表'!B22&lt;=1,C40*F22*'数据-取费表'!B21/2,C40*(POWER((1+F22),'数据-取费表'!B21/2)-1)),4)</f>
        <v>0</v>
      </c>
      <c r="D44" s="282"/>
      <c r="E44" s="282"/>
      <c r="F44" s="283"/>
      <c r="G44" s="3471"/>
    </row>
    <row r="45" spans="1:7" s="258" customFormat="1" ht="13.5" customHeight="1">
      <c r="A45" s="299" t="s">
        <v>2409</v>
      </c>
      <c r="B45" s="288" t="s">
        <v>2375</v>
      </c>
      <c r="C45" s="289">
        <f ca="1">C46</f>
        <v>0</v>
      </c>
      <c r="D45" s="279">
        <f ca="1">C47</f>
        <v>2.7000000000000001E-3</v>
      </c>
      <c r="E45" s="280" t="s">
        <v>2401</v>
      </c>
      <c r="F45" s="290"/>
      <c r="G45" s="291" t="s">
        <v>2410</v>
      </c>
    </row>
    <row r="46" spans="1:7" s="258" customFormat="1" ht="13.5" customHeight="1">
      <c r="A46" s="951" t="s">
        <v>791</v>
      </c>
      <c r="B46" s="292" t="s">
        <v>2411</v>
      </c>
      <c r="C46" s="293">
        <f ca="1">ROUND((C33+C39)*F27,0)</f>
        <v>0</v>
      </c>
      <c r="D46" s="307"/>
      <c r="E46" s="280"/>
      <c r="F46" s="290"/>
      <c r="G46" s="291"/>
    </row>
    <row r="47" spans="1:7" s="258" customFormat="1" ht="13.5" customHeight="1">
      <c r="A47" s="951" t="s">
        <v>792</v>
      </c>
      <c r="B47" s="292" t="s">
        <v>2412</v>
      </c>
      <c r="C47" s="282">
        <f ca="1">ROUND(C40*F27,4)</f>
        <v>2.7000000000000001E-3</v>
      </c>
      <c r="D47" s="307"/>
      <c r="E47" s="280"/>
      <c r="F47" s="290"/>
      <c r="G47" s="291"/>
    </row>
    <row r="48" spans="1:7" s="258" customFormat="1" ht="13.5" customHeight="1">
      <c r="A48" s="299" t="s">
        <v>2374</v>
      </c>
      <c r="B48" s="254" t="s">
        <v>2413</v>
      </c>
      <c r="C48" s="1727">
        <f>ROUND(F30/(1+'数据-取费表'!C42),4)</f>
        <v>5.33E-2</v>
      </c>
      <c r="D48" s="280" t="s">
        <v>2401</v>
      </c>
      <c r="E48" s="276"/>
      <c r="F48" s="281"/>
      <c r="G48" s="278" t="s">
        <v>2414</v>
      </c>
    </row>
    <row r="49" spans="1:7" ht="16.5" customHeight="1">
      <c r="A49" s="299" t="s">
        <v>2380</v>
      </c>
      <c r="B49" s="254" t="s">
        <v>2415</v>
      </c>
      <c r="C49" s="276">
        <f ca="1">ROUND((C33+C39+C41+C45)/(1-C40-D41-D45-C48),0)</f>
        <v>0</v>
      </c>
      <c r="D49" s="276"/>
      <c r="E49" s="276"/>
      <c r="F49" s="308"/>
      <c r="G49" s="278" t="s">
        <v>2416</v>
      </c>
    </row>
    <row r="50" spans="1:7" s="302" customFormat="1" ht="30">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0</v>
      </c>
      <c r="D51" s="276"/>
      <c r="E51" s="276"/>
      <c r="F51" s="308"/>
      <c r="G51" s="278" t="s">
        <v>2422</v>
      </c>
    </row>
    <row r="52" spans="1:7" s="252" customFormat="1" ht="17" thickBot="1">
      <c r="A52" s="309" t="s">
        <v>2423</v>
      </c>
      <c r="B52" s="310"/>
      <c r="C52" s="311">
        <f ca="1">C31+C51</f>
        <v>359471</v>
      </c>
      <c r="D52" s="310"/>
      <c r="E52" s="310"/>
      <c r="F52" s="310"/>
      <c r="G52" s="312"/>
    </row>
    <row r="55" spans="1:7" ht="16">
      <c r="B55" s="314" t="s">
        <v>2424</v>
      </c>
      <c r="C55" s="315"/>
    </row>
    <row r="56" spans="1:7" ht="14">
      <c r="B56" s="317" t="s">
        <v>1507</v>
      </c>
      <c r="C56" s="319">
        <f ca="1">1-C57</f>
        <v>1</v>
      </c>
    </row>
    <row r="57" spans="1:7" ht="14">
      <c r="B57" s="317" t="s">
        <v>1508</v>
      </c>
      <c r="C57" s="318">
        <f ca="1">ROUND(C51/C52,3)</f>
        <v>0</v>
      </c>
    </row>
  </sheetData>
  <sheetProtection password="C66D" sheet="1" objects="1" scenarios="1" formatCells="0"/>
  <mergeCells count="1">
    <mergeCell ref="G42:G44"/>
  </mergeCells>
  <phoneticPr fontId="142"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workbookViewId="0">
      <selection activeCell="J53" sqref="J53"/>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83203125" style="295" customWidth="1"/>
    <col min="9" max="254" width="9" style="295" customWidth="1"/>
    <col min="255" max="16384" width="8.33203125" style="295"/>
  </cols>
  <sheetData>
    <row r="1" spans="1:8" s="244" customFormat="1" ht="20">
      <c r="A1" s="240" t="s">
        <v>2323</v>
      </c>
      <c r="B1" s="1935"/>
      <c r="C1" s="2553" t="s">
        <v>2425</v>
      </c>
      <c r="D1" s="242"/>
      <c r="E1" s="242"/>
      <c r="F1" s="242"/>
      <c r="G1" s="1379">
        <f>MATCH(B1,'数据-取费表'!A6:A16,0)+5</f>
        <v>10</v>
      </c>
      <c r="H1" s="1282" t="str">
        <f>IF(ISERROR(FIND("住宅",B1)),"非住宅","住宅")</f>
        <v>非住宅</v>
      </c>
    </row>
    <row r="2" spans="1:8" s="244" customFormat="1" ht="18" customHeight="1">
      <c r="A2" s="245" t="s">
        <v>2324</v>
      </c>
      <c r="B2" s="246">
        <f ca="1">ROUND(IF(D2="——",C52/10000,C52/10000-E2),0)</f>
        <v>472316</v>
      </c>
      <c r="C2" s="243" t="s">
        <v>2325</v>
      </c>
      <c r="D2" s="2547" t="s">
        <v>70</v>
      </c>
      <c r="E2" s="1440"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4752</v>
      </c>
      <c r="C3" s="243" t="s">
        <v>2327</v>
      </c>
      <c r="D3" s="243"/>
      <c r="E3" s="243"/>
      <c r="F3" s="243"/>
      <c r="G3" s="243"/>
    </row>
    <row r="4" spans="1:8" s="252" customFormat="1" ht="16">
      <c r="A4" s="249" t="s">
        <v>2328</v>
      </c>
      <c r="B4" s="250"/>
      <c r="C4" s="250"/>
      <c r="D4" s="250"/>
      <c r="E4" s="250"/>
      <c r="F4" s="250"/>
      <c r="G4" s="251"/>
    </row>
    <row r="5" spans="1:8" s="258" customFormat="1" ht="13.5" customHeight="1">
      <c r="A5" s="299" t="s">
        <v>2329</v>
      </c>
      <c r="B5" s="254" t="s">
        <v>2330</v>
      </c>
      <c r="C5" s="255">
        <f ca="1">C6+C7+C8</f>
        <v>64601760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ht="14">
      <c r="A8" s="949" t="s">
        <v>2338</v>
      </c>
      <c r="B8" s="259" t="s">
        <v>2339</v>
      </c>
      <c r="C8" s="264">
        <f ca="1">IF(G8="已包含在土地购买价格中",0,C9+C10)</f>
        <v>64601760</v>
      </c>
      <c r="D8" s="266"/>
      <c r="E8" s="264"/>
      <c r="F8" s="265"/>
      <c r="G8" s="2550"/>
    </row>
    <row r="9" spans="1:8" s="258" customFormat="1" ht="13.5" customHeight="1">
      <c r="A9" s="950" t="s">
        <v>800</v>
      </c>
      <c r="B9" s="268" t="s">
        <v>2340</v>
      </c>
      <c r="C9" s="269">
        <f ca="1">ROUND(D9*E9,0)</f>
        <v>33199639</v>
      </c>
      <c r="D9" s="1032">
        <f ca="1">IF(B1="",'数据-汇总表'!E5,IF(INDIRECT("'数据-取费表'!c"&amp;$G$1)="住宅",INDIRECT("'数据-取费表'!k"&amp;$G$1),0))</f>
        <v>510763.67099999991</v>
      </c>
      <c r="E9" s="269">
        <f>'数据-取费表'!B27</f>
        <v>65</v>
      </c>
      <c r="F9" s="265"/>
      <c r="G9" s="270"/>
    </row>
    <row r="10" spans="1:8" s="258" customFormat="1" ht="13.5" customHeight="1">
      <c r="A10" s="950" t="s">
        <v>801</v>
      </c>
      <c r="B10" s="268" t="s">
        <v>2342</v>
      </c>
      <c r="C10" s="269">
        <f ca="1">ROUND(D10*E10,0)</f>
        <v>31402121</v>
      </c>
      <c r="D10" s="1032">
        <f ca="1">IF(B1="",'数据-汇总表'!E6,IF(INDIRECT("'数据-取费表'!c"&amp;$G$1)="住宅",INDIRECT("'数据-取费表'!s"&amp;$G$1),INDIRECT("'数据-取费表'!k"&amp;$G$1)+INDIRECT("'数据-取费表'!s"&amp;$G$1)))</f>
        <v>483109.56000000011</v>
      </c>
      <c r="E10" s="269">
        <f>'数据-取费表'!B28</f>
        <v>65</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149080985</v>
      </c>
      <c r="D19" s="1036">
        <f ca="1">D9+D10</f>
        <v>993873.23100000003</v>
      </c>
      <c r="E19" s="255">
        <f>'数据-取费表'!B31</f>
        <v>150</v>
      </c>
      <c r="F19" s="275"/>
      <c r="G19" s="2550"/>
    </row>
    <row r="20" spans="1:7" s="258" customFormat="1" ht="13.5" customHeight="1">
      <c r="A20" s="299" t="s">
        <v>2436</v>
      </c>
      <c r="B20" s="254" t="s">
        <v>2437</v>
      </c>
      <c r="C20" s="276">
        <f ca="1">ROUND((C5+C19)*F20,0)</f>
        <v>2136827</v>
      </c>
      <c r="D20" s="276"/>
      <c r="E20" s="276"/>
      <c r="F20" s="277">
        <f>'数据-取费表'!B37</f>
        <v>0.01</v>
      </c>
      <c r="G20" s="278" t="s">
        <v>2438</v>
      </c>
    </row>
    <row r="21" spans="1:7" s="258" customFormat="1" ht="13.5" customHeight="1">
      <c r="A21" s="299" t="s">
        <v>2439</v>
      </c>
      <c r="B21" s="254" t="s">
        <v>2440</v>
      </c>
      <c r="C21" s="279">
        <f>F21</f>
        <v>1.4999999999999999E-2</v>
      </c>
      <c r="D21" s="280" t="s">
        <v>2441</v>
      </c>
      <c r="E21" s="276"/>
      <c r="F21" s="277">
        <f>'数据-取费表'!B38</f>
        <v>1.4999999999999999E-2</v>
      </c>
      <c r="G21" s="278" t="s">
        <v>2442</v>
      </c>
    </row>
    <row r="22" spans="1:7" s="258" customFormat="1" ht="13.5" customHeight="1">
      <c r="A22" s="299" t="s">
        <v>2443</v>
      </c>
      <c r="B22" s="254" t="s">
        <v>2444</v>
      </c>
      <c r="C22" s="1380">
        <f ca="1">ROUND(SUM(C23:C25),0)</f>
        <v>32073100</v>
      </c>
      <c r="D22" s="279">
        <f ca="1">C26</f>
        <v>1.1000000000000001E-3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9649947</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22269110</v>
      </c>
      <c r="D24" s="282"/>
      <c r="E24" s="282"/>
      <c r="F24" s="283"/>
      <c r="G24" s="284" t="s">
        <v>2448</v>
      </c>
    </row>
    <row r="25" spans="1:7" s="258" customFormat="1" ht="30">
      <c r="A25" s="951" t="s">
        <v>2338</v>
      </c>
      <c r="B25" s="259" t="s">
        <v>2449</v>
      </c>
      <c r="C25" s="1381">
        <f ca="1">ROUND(IF('数据-取费表'!B22&lt;=1,C20*F22*'数据-取费表'!B22/2,C20*(POWER((1+F22),'数据-取费表'!B22/2)-1)),0)</f>
        <v>154043</v>
      </c>
      <c r="D25" s="282"/>
      <c r="E25" s="285"/>
      <c r="F25" s="283"/>
      <c r="G25" s="286" t="s">
        <v>2450</v>
      </c>
    </row>
    <row r="26" spans="1:7" s="258" customFormat="1" ht="14">
      <c r="A26" s="951" t="s">
        <v>795</v>
      </c>
      <c r="B26" s="259" t="s">
        <v>2373</v>
      </c>
      <c r="C26" s="282">
        <f ca="1">ROUND(IF('数据-取费表'!B22&lt;=1,F21*F22*'数据-取费表'!B22/2,F21*(POWER((1+F22),'数据-取费表'!B22/2)-1)),4)</f>
        <v>1.1000000000000001E-3</v>
      </c>
      <c r="D26" s="282"/>
      <c r="E26" s="285"/>
      <c r="F26" s="283"/>
      <c r="G26" s="287"/>
    </row>
    <row r="27" spans="1:7" s="258" customFormat="1" ht="30">
      <c r="A27" s="299" t="s">
        <v>2374</v>
      </c>
      <c r="B27" s="288" t="s">
        <v>2375</v>
      </c>
      <c r="C27" s="289">
        <f ca="1">C28</f>
        <v>38847523</v>
      </c>
      <c r="D27" s="279">
        <f ca="1">C29</f>
        <v>2.7000000000000001E-3</v>
      </c>
      <c r="E27" s="280" t="s">
        <v>2376</v>
      </c>
      <c r="F27" s="290">
        <f ca="1">IF(B1="",'数据-取费表'!Q16,INDIRECT("'数据-取费表'!q"&amp;$G$1))</f>
        <v>0.18</v>
      </c>
      <c r="G27" s="291" t="s">
        <v>2377</v>
      </c>
    </row>
    <row r="28" spans="1:7" s="258" customFormat="1" ht="13.5" customHeight="1">
      <c r="A28" s="951" t="s">
        <v>791</v>
      </c>
      <c r="B28" s="292" t="s">
        <v>2378</v>
      </c>
      <c r="C28" s="293">
        <f ca="1">ROUND((C5+C19+C20)*F27,0)</f>
        <v>38847523</v>
      </c>
      <c r="D28" s="279"/>
      <c r="E28" s="280"/>
      <c r="F28" s="290"/>
      <c r="G28" s="291"/>
    </row>
    <row r="29" spans="1:7" s="258" customFormat="1" ht="13.5" customHeight="1">
      <c r="A29" s="951" t="s">
        <v>792</v>
      </c>
      <c r="B29" s="292" t="s">
        <v>2379</v>
      </c>
      <c r="C29" s="282">
        <f ca="1">ROUND(C21*F27,4)</f>
        <v>2.7000000000000001E-3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309020579</v>
      </c>
      <c r="D31" s="274"/>
      <c r="E31" s="255"/>
      <c r="F31" s="294"/>
      <c r="G31" s="278" t="s">
        <v>2384</v>
      </c>
    </row>
    <row r="32" spans="1:7" s="252" customFormat="1" ht="16">
      <c r="A32" s="296" t="s">
        <v>2451</v>
      </c>
      <c r="B32" s="297"/>
      <c r="C32" s="297"/>
      <c r="D32" s="297"/>
      <c r="E32" s="297"/>
      <c r="F32" s="297"/>
      <c r="G32" s="298"/>
    </row>
    <row r="33" spans="1:7" s="258" customFormat="1" ht="13.5" customHeight="1">
      <c r="A33" s="299" t="s">
        <v>782</v>
      </c>
      <c r="B33" s="254" t="s">
        <v>2452</v>
      </c>
      <c r="C33" s="300">
        <f ca="1">SUM(C34:C38)</f>
        <v>3238850724</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2865727703</v>
      </c>
      <c r="D34" s="261"/>
      <c r="E34" s="264"/>
      <c r="F34" s="301"/>
      <c r="G34" s="263"/>
    </row>
    <row r="35" spans="1:7" ht="13.5" customHeight="1">
      <c r="A35" s="951" t="s">
        <v>796</v>
      </c>
      <c r="B35" s="259" t="s">
        <v>2389</v>
      </c>
      <c r="C35" s="264">
        <f ca="1">ROUND(C34*F35,0)</f>
        <v>85971831</v>
      </c>
      <c r="D35" s="264"/>
      <c r="E35" s="264"/>
      <c r="F35" s="303">
        <f>'数据-取费表'!B33</f>
        <v>0.03</v>
      </c>
      <c r="G35" s="263" t="s">
        <v>2390</v>
      </c>
    </row>
    <row r="36" spans="1:7" ht="30">
      <c r="A36" s="951" t="s">
        <v>797</v>
      </c>
      <c r="B36" s="259" t="s">
        <v>2391</v>
      </c>
      <c r="C36" s="264">
        <f ca="1">ROUND(IF(B1="",SUM('数据-取费表'!AP6:AP13)*F36,IF(INDIRECT("'数据-取费表'!c"&amp;$G$1)="住宅",INDIRECT("'数据-取费表'!k"&amp;$G$1)*INDIRECT("'数据-取费表'!l"&amp;$G$1)*F36,0)),0)</f>
        <v>45390628</v>
      </c>
      <c r="D36" s="264"/>
      <c r="E36" s="264"/>
      <c r="F36" s="303">
        <f>'数据-取费表'!B34</f>
        <v>0.03</v>
      </c>
      <c r="G36" s="304" t="s">
        <v>2392</v>
      </c>
    </row>
    <row r="37" spans="1:7" s="302" customFormat="1" ht="13.5" customHeight="1">
      <c r="A37" s="951" t="s">
        <v>798</v>
      </c>
      <c r="B37" s="259" t="s">
        <v>2393</v>
      </c>
      <c r="C37" s="293">
        <f ca="1">ROUND(E37*D37,0)</f>
        <v>198774646</v>
      </c>
      <c r="D37" s="261">
        <f ca="1">D19</f>
        <v>993873.23100000003</v>
      </c>
      <c r="E37" s="293">
        <f>'数据-取费表'!B35</f>
        <v>200</v>
      </c>
      <c r="F37" s="303"/>
      <c r="G37" s="305"/>
    </row>
    <row r="38" spans="1:7" ht="13.5" customHeight="1">
      <c r="A38" s="951" t="s">
        <v>799</v>
      </c>
      <c r="B38" s="259" t="s">
        <v>2395</v>
      </c>
      <c r="C38" s="264">
        <f ca="1">ROUND(C34*F38,0)</f>
        <v>42985916</v>
      </c>
      <c r="D38" s="264"/>
      <c r="E38" s="264"/>
      <c r="F38" s="303">
        <f>'数据-取费表'!B36</f>
        <v>1.4999999999999999E-2</v>
      </c>
      <c r="G38" s="263" t="s">
        <v>2390</v>
      </c>
    </row>
    <row r="39" spans="1:7" s="258" customFormat="1" ht="13.5" customHeight="1">
      <c r="A39" s="299" t="s">
        <v>2396</v>
      </c>
      <c r="B39" s="254" t="s">
        <v>2397</v>
      </c>
      <c r="C39" s="276">
        <f ca="1">ROUND(C33*F20,0)</f>
        <v>32388507</v>
      </c>
      <c r="D39" s="276"/>
      <c r="E39" s="276"/>
      <c r="F39" s="277"/>
      <c r="G39" s="278" t="s">
        <v>2398</v>
      </c>
    </row>
    <row r="40" spans="1:7" s="258" customFormat="1" ht="13.5" customHeight="1">
      <c r="A40" s="299" t="s">
        <v>2399</v>
      </c>
      <c r="B40" s="254" t="s">
        <v>2400</v>
      </c>
      <c r="C40" s="1727">
        <f>F21</f>
        <v>1.4999999999999999E-2</v>
      </c>
      <c r="D40" s="280" t="s">
        <v>2401</v>
      </c>
      <c r="E40" s="276"/>
      <c r="F40" s="277"/>
      <c r="G40" s="278" t="s">
        <v>2402</v>
      </c>
    </row>
    <row r="41" spans="1:7" s="258" customFormat="1" ht="13.5" customHeight="1">
      <c r="A41" s="299" t="s">
        <v>2403</v>
      </c>
      <c r="B41" s="254" t="s">
        <v>2404</v>
      </c>
      <c r="C41" s="276">
        <f ca="1">ROUND(SUM(C42:C43),0)</f>
        <v>235822040</v>
      </c>
      <c r="D41" s="279">
        <f ca="1">C44</f>
        <v>1.1000000000000001E-3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233487168</v>
      </c>
      <c r="D42" s="282"/>
      <c r="E42" s="282"/>
      <c r="F42" s="283"/>
      <c r="G42" s="3469" t="s">
        <v>2453</v>
      </c>
    </row>
    <row r="43" spans="1:7" ht="13.5" customHeight="1">
      <c r="A43" s="951" t="s">
        <v>792</v>
      </c>
      <c r="B43" s="259" t="s">
        <v>2407</v>
      </c>
      <c r="C43" s="282">
        <f ca="1">ROUND(IF('数据-取费表'!B22&lt;=1,C39*F22*'数据-取费表'!B20/2,C39*(POWER((1+F22),'数据-取费表'!B20/2)-1)),0)</f>
        <v>2334872</v>
      </c>
      <c r="D43" s="282"/>
      <c r="E43" s="282"/>
      <c r="F43" s="283"/>
      <c r="G43" s="3470"/>
    </row>
    <row r="44" spans="1:7" ht="13.5" customHeight="1">
      <c r="A44" s="951" t="s">
        <v>793</v>
      </c>
      <c r="B44" s="259" t="s">
        <v>2408</v>
      </c>
      <c r="C44" s="282">
        <f ca="1">ROUND(IF('数据-取费表'!B22&lt;=1,C40*F22*'数据-取费表'!B20/2,C40*(POWER((1+F22),'数据-取费表'!B20/2)-1)),4)</f>
        <v>1.1000000000000001E-3</v>
      </c>
      <c r="D44" s="282"/>
      <c r="E44" s="282"/>
      <c r="F44" s="283"/>
      <c r="G44" s="3471"/>
    </row>
    <row r="45" spans="1:7" s="258" customFormat="1" ht="13.5" customHeight="1">
      <c r="A45" s="299" t="s">
        <v>2409</v>
      </c>
      <c r="B45" s="288" t="s">
        <v>2375</v>
      </c>
      <c r="C45" s="289">
        <f ca="1">C46</f>
        <v>588823062</v>
      </c>
      <c r="D45" s="279">
        <f ca="1">C47</f>
        <v>2.7000000000000001E-3</v>
      </c>
      <c r="E45" s="280" t="s">
        <v>2401</v>
      </c>
      <c r="F45" s="290"/>
      <c r="G45" s="291" t="s">
        <v>2410</v>
      </c>
    </row>
    <row r="46" spans="1:7" s="258" customFormat="1" ht="13.5" customHeight="1">
      <c r="A46" s="951" t="s">
        <v>791</v>
      </c>
      <c r="B46" s="292" t="s">
        <v>2411</v>
      </c>
      <c r="C46" s="293">
        <f ca="1">ROUND((C33+C39)*F27,0)</f>
        <v>588823062</v>
      </c>
      <c r="D46" s="307"/>
      <c r="E46" s="280"/>
      <c r="F46" s="290"/>
      <c r="G46" s="291"/>
    </row>
    <row r="47" spans="1:7" s="258" customFormat="1" ht="13.5" customHeight="1">
      <c r="A47" s="951" t="s">
        <v>792</v>
      </c>
      <c r="B47" s="292" t="s">
        <v>2412</v>
      </c>
      <c r="C47" s="282">
        <f ca="1">ROUND(C40*F27,4)</f>
        <v>2.7000000000000001E-3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4414144124</v>
      </c>
      <c r="D49" s="276"/>
      <c r="E49" s="276"/>
      <c r="F49" s="308"/>
      <c r="G49" s="278" t="s">
        <v>2416</v>
      </c>
    </row>
    <row r="50" spans="1:7" s="302" customFormat="1" ht="14">
      <c r="A50" s="299" t="s">
        <v>2417</v>
      </c>
      <c r="B50" s="254" t="s">
        <v>2418</v>
      </c>
      <c r="C50" s="276"/>
      <c r="D50" s="276"/>
      <c r="E50" s="276"/>
      <c r="F50" s="308">
        <f>IF('数据-取费表'!B24=0,'数据-取费表'!N16,1)</f>
        <v>1</v>
      </c>
      <c r="G50" s="291"/>
    </row>
    <row r="51" spans="1:7" ht="16.5" customHeight="1">
      <c r="A51" s="299" t="s">
        <v>2420</v>
      </c>
      <c r="B51" s="254" t="s">
        <v>2455</v>
      </c>
      <c r="C51" s="276">
        <f ca="1">ROUND(C49*F50,0)</f>
        <v>4414144124</v>
      </c>
      <c r="D51" s="276"/>
      <c r="E51" s="276"/>
      <c r="F51" s="308"/>
      <c r="G51" s="278" t="s">
        <v>2422</v>
      </c>
    </row>
    <row r="52" spans="1:7" s="252" customFormat="1" ht="17" thickBot="1">
      <c r="A52" s="309" t="s">
        <v>2423</v>
      </c>
      <c r="B52" s="310"/>
      <c r="C52" s="311">
        <f ca="1">C31+C51</f>
        <v>4723164703</v>
      </c>
      <c r="D52" s="310"/>
      <c r="E52" s="310"/>
      <c r="F52" s="310"/>
      <c r="G52" s="312"/>
    </row>
    <row r="55" spans="1:7" ht="16">
      <c r="B55" s="314" t="s">
        <v>2424</v>
      </c>
      <c r="C55" s="315"/>
    </row>
    <row r="56" spans="1:7" ht="14">
      <c r="B56" s="317" t="s">
        <v>1507</v>
      </c>
      <c r="C56" s="319">
        <f ca="1">1-C57</f>
        <v>6.4999999999999947E-2</v>
      </c>
    </row>
    <row r="57" spans="1:7" ht="14">
      <c r="B57" s="317" t="s">
        <v>1508</v>
      </c>
      <c r="C57" s="318">
        <f ca="1">ROUND(C51/C52,3)</f>
        <v>0.93500000000000005</v>
      </c>
    </row>
  </sheetData>
  <sheetProtection password="C66D" sheet="1" objects="1" scenarios="1" formatCells="0"/>
  <mergeCells count="1">
    <mergeCell ref="G42:G44"/>
  </mergeCells>
  <phoneticPr fontId="142"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A4" zoomScale="75" zoomScaleNormal="100" workbookViewId="0">
      <selection activeCell="E28" sqref="E28"/>
    </sheetView>
  </sheetViews>
  <sheetFormatPr baseColWidth="10" defaultColWidth="9" defaultRowHeight="14"/>
  <cols>
    <col min="1" max="1" width="14.33203125" style="403" customWidth="1"/>
    <col min="2" max="2" width="15.832031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321788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3238</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490" t="s">
        <v>2640</v>
      </c>
      <c r="D4" s="3491"/>
      <c r="E4" s="3492" t="s">
        <v>2641</v>
      </c>
      <c r="F4" s="3493"/>
      <c r="G4" s="3490" t="s">
        <v>2642</v>
      </c>
      <c r="H4" s="3491"/>
      <c r="I4" s="3490" t="s">
        <v>2643</v>
      </c>
      <c r="J4" s="3491"/>
      <c r="K4" s="610" t="s">
        <v>2644</v>
      </c>
      <c r="L4" s="2978"/>
      <c r="M4" s="2979" t="s">
        <v>3427</v>
      </c>
      <c r="N4" s="2979" t="s">
        <v>746</v>
      </c>
      <c r="O4" s="2979" t="s">
        <v>3426</v>
      </c>
      <c r="P4" s="3494" t="s">
        <v>2645</v>
      </c>
      <c r="Q4" s="3495"/>
      <c r="R4" s="3477" t="s">
        <v>2641</v>
      </c>
      <c r="S4" s="3478"/>
      <c r="T4" s="3477" t="s">
        <v>2642</v>
      </c>
      <c r="U4" s="3478"/>
      <c r="V4" s="3502" t="s">
        <v>2643</v>
      </c>
      <c r="W4" s="3502"/>
      <c r="X4" s="1812"/>
      <c r="Y4" s="3477" t="s">
        <v>2645</v>
      </c>
      <c r="Z4" s="3478"/>
      <c r="AA4" s="3472" t="s">
        <v>2641</v>
      </c>
      <c r="AB4" s="3473" t="s">
        <v>2642</v>
      </c>
      <c r="AC4" s="3472" t="s">
        <v>2643</v>
      </c>
    </row>
    <row r="5" spans="1:30">
      <c r="A5" s="404"/>
      <c r="B5" s="405"/>
      <c r="C5" s="3483" t="s">
        <v>2536</v>
      </c>
      <c r="D5" s="3484"/>
      <c r="E5" s="3481" t="s">
        <v>2537</v>
      </c>
      <c r="F5" s="3482"/>
      <c r="G5" s="3483" t="s">
        <v>2538</v>
      </c>
      <c r="H5" s="3484"/>
      <c r="I5" s="3483" t="s">
        <v>2539</v>
      </c>
      <c r="J5" s="3484"/>
      <c r="K5" s="610"/>
      <c r="L5" s="2980" t="s">
        <v>3397</v>
      </c>
      <c r="M5" s="2981">
        <f>'土地案例（南昌县-住宅）'!Q5</f>
        <v>4837.47</v>
      </c>
      <c r="N5" s="2981">
        <v>2</v>
      </c>
      <c r="O5" s="2981">
        <f>'选取案例-住宅'!AB4</f>
        <v>1</v>
      </c>
      <c r="P5" s="3496"/>
      <c r="Q5" s="3497"/>
      <c r="R5" s="3479"/>
      <c r="S5" s="3480"/>
      <c r="T5" s="3479"/>
      <c r="U5" s="3480"/>
      <c r="V5" s="3502"/>
      <c r="W5" s="3502"/>
      <c r="X5" s="1812"/>
      <c r="Y5" s="3479"/>
      <c r="Z5" s="3480"/>
      <c r="AA5" s="3473"/>
      <c r="AB5" s="3473"/>
      <c r="AC5" s="3473"/>
    </row>
    <row r="6" spans="1:30" ht="16" thickBot="1">
      <c r="A6" s="406"/>
      <c r="B6" s="407"/>
      <c r="C6" s="3485" t="s">
        <v>2540</v>
      </c>
      <c r="D6" s="3486"/>
      <c r="E6" s="3487" t="s">
        <v>2540</v>
      </c>
      <c r="F6" s="3488"/>
      <c r="G6" s="3485" t="s">
        <v>2540</v>
      </c>
      <c r="H6" s="3486"/>
      <c r="I6" s="3485" t="s">
        <v>2540</v>
      </c>
      <c r="J6" s="3486"/>
      <c r="K6" s="610" t="s">
        <v>2541</v>
      </c>
      <c r="L6" s="2980" t="s">
        <v>3398</v>
      </c>
      <c r="M6" s="2981">
        <f>'土地案例（南昌县-住宅）'!Q7</f>
        <v>4125</v>
      </c>
      <c r="N6" s="2981">
        <v>2.2000000000000002</v>
      </c>
      <c r="O6" s="2981">
        <f>'选取案例-住宅'!AB4</f>
        <v>1</v>
      </c>
      <c r="P6" s="3498"/>
      <c r="Q6" s="3499"/>
      <c r="R6" s="3479"/>
      <c r="S6" s="3480"/>
      <c r="T6" s="3500"/>
      <c r="U6" s="3501"/>
      <c r="V6" s="3502"/>
      <c r="W6" s="3502"/>
      <c r="X6" s="1812"/>
      <c r="Y6" s="3500"/>
      <c r="Z6" s="3501"/>
      <c r="AA6" s="3474"/>
      <c r="AB6" s="3474"/>
      <c r="AC6" s="3474"/>
    </row>
    <row r="7" spans="1:30" s="117" customFormat="1" ht="16" thickBot="1">
      <c r="A7" s="408" t="s">
        <v>2542</v>
      </c>
      <c r="B7" s="409"/>
      <c r="C7" s="410">
        <f>'数据-取费表'!B2</f>
        <v>43905</v>
      </c>
      <c r="D7" s="411">
        <v>100</v>
      </c>
      <c r="E7" s="412" t="str">
        <f>'土地案例（南昌县-住宅）'!L5</f>
        <v>2019-12-27</v>
      </c>
      <c r="F7" s="413">
        <f>SUMIF(70:70,YEAR(E7)&amp;"-"&amp;INT((MONTH(E7)+2)/3),71:71)</f>
        <v>99.5</v>
      </c>
      <c r="G7" s="2696" t="str">
        <f>'土地案例（南昌县-住宅）'!L7</f>
        <v>2019-12-20</v>
      </c>
      <c r="H7" s="411">
        <f>SUMIF(70:70,YEAR(G7)&amp;"-"&amp;INT((MONTH(G7)+2)/3),71:71)</f>
        <v>99.5</v>
      </c>
      <c r="I7" s="2696" t="str">
        <f>'土地案例（南昌县-住宅）'!L40</f>
        <v>2017-06-07</v>
      </c>
      <c r="J7" s="411">
        <f>SUMIF(70:70,YEAR(I7)&amp;"-"&amp;INT((MONTH(I7)+2)/3),71:71)</f>
        <v>94.5</v>
      </c>
      <c r="K7" s="611"/>
      <c r="L7" s="2980" t="s">
        <v>3399</v>
      </c>
      <c r="M7" s="2982">
        <f>'土地案例（南昌县-住宅）'!Q40</f>
        <v>3756.03</v>
      </c>
      <c r="N7" s="2982">
        <v>2.5</v>
      </c>
      <c r="O7" s="2982">
        <f>'选取案例-住宅'!AB4</f>
        <v>1</v>
      </c>
      <c r="P7" s="3475" t="s">
        <v>2543</v>
      </c>
      <c r="Q7" s="3503"/>
      <c r="R7" s="770" t="s">
        <v>17</v>
      </c>
      <c r="S7" s="771">
        <f t="shared" ref="S7:S15" si="0">F7</f>
        <v>99.5</v>
      </c>
      <c r="T7" s="770" t="s">
        <v>17</v>
      </c>
      <c r="U7" s="771">
        <f t="shared" ref="U7:U15" si="1">H7</f>
        <v>99.5</v>
      </c>
      <c r="V7" s="770" t="s">
        <v>17</v>
      </c>
      <c r="W7" s="771">
        <f t="shared" ref="W7:W15" si="2">J7</f>
        <v>94.5</v>
      </c>
      <c r="X7" s="772"/>
      <c r="Y7" s="3475" t="s">
        <v>2543</v>
      </c>
      <c r="Z7" s="3476"/>
      <c r="AA7" s="773">
        <f>D7/F7</f>
        <v>1.0050251256281406</v>
      </c>
      <c r="AB7" s="773">
        <f>D7/H7</f>
        <v>1.0050251256281406</v>
      </c>
      <c r="AC7" s="773">
        <f>D7/J7</f>
        <v>1.0582010582010581</v>
      </c>
    </row>
    <row r="8" spans="1:30" s="117" customFormat="1" ht="16" thickBot="1">
      <c r="A8" s="408" t="s">
        <v>2544</v>
      </c>
      <c r="B8" s="409"/>
      <c r="C8" s="414" t="s">
        <v>2545</v>
      </c>
      <c r="D8" s="411">
        <v>100</v>
      </c>
      <c r="E8" s="414" t="s">
        <v>3432</v>
      </c>
      <c r="F8" s="413">
        <f>SUMIF(73:73,E8,74:74)-SUMIF(73:73,C8,74:74)+100</f>
        <v>100</v>
      </c>
      <c r="G8" s="414" t="s">
        <v>3432</v>
      </c>
      <c r="H8" s="411">
        <f>SUMIF(73:73,G8,74:74)-SUMIF(73:73,C8,74:74)+100</f>
        <v>100</v>
      </c>
      <c r="I8" s="414" t="s">
        <v>3432</v>
      </c>
      <c r="J8" s="411">
        <f>SUMIF(73:73,I8,74:74)-SUMIF(73:73,C8,74:74)+100</f>
        <v>100</v>
      </c>
      <c r="K8" s="611"/>
      <c r="L8" s="2978" t="s">
        <v>3400</v>
      </c>
      <c r="M8" s="2982"/>
      <c r="N8" s="2982">
        <f>抵押物汇总!Q20</f>
        <v>1.0175849816309261</v>
      </c>
      <c r="O8" s="2982">
        <f>'选取案例-住宅'!Y4</f>
        <v>1.7</v>
      </c>
      <c r="P8" s="3475" t="s">
        <v>2546</v>
      </c>
      <c r="Q8" s="3476"/>
      <c r="R8" s="770" t="s">
        <v>17</v>
      </c>
      <c r="S8" s="771">
        <f t="shared" si="0"/>
        <v>100</v>
      </c>
      <c r="T8" s="770" t="s">
        <v>17</v>
      </c>
      <c r="U8" s="771">
        <f t="shared" si="1"/>
        <v>100</v>
      </c>
      <c r="V8" s="770" t="s">
        <v>17</v>
      </c>
      <c r="W8" s="771">
        <f t="shared" si="2"/>
        <v>100</v>
      </c>
      <c r="X8" s="772"/>
      <c r="Y8" s="3475" t="s">
        <v>2546</v>
      </c>
      <c r="Z8" s="3476"/>
      <c r="AA8" s="773">
        <f t="shared" ref="AA8:AA45" si="3">D8/F8</f>
        <v>1</v>
      </c>
      <c r="AB8" s="773">
        <f t="shared" ref="AB8:AB45" si="4">D8/H8</f>
        <v>1</v>
      </c>
      <c r="AC8" s="773">
        <f t="shared" ref="AC8:AC45" si="5">D8/J8</f>
        <v>1</v>
      </c>
    </row>
    <row r="9" spans="1:30" s="117" customFormat="1" ht="15">
      <c r="A9" s="415" t="s">
        <v>2547</v>
      </c>
      <c r="B9" s="71" t="s">
        <v>2548</v>
      </c>
      <c r="C9" s="2699"/>
      <c r="D9" s="135">
        <v>100</v>
      </c>
      <c r="E9" s="2699"/>
      <c r="F9" s="135">
        <f>SUMIF(75:75,E9,76:76)-SUMIF(75:75,C9,76:76)+100</f>
        <v>100</v>
      </c>
      <c r="G9" s="2699"/>
      <c r="H9" s="135">
        <f>SUMIF(75:75,G9,76:76)-SUMIF(75:75,C9,76:76)+100</f>
        <v>100</v>
      </c>
      <c r="I9" s="2699"/>
      <c r="J9" s="135">
        <f>SUMIF(75:75,I9,76:76)-SUMIF(75:75,C9,76:76)+100</f>
        <v>100</v>
      </c>
      <c r="K9" s="611"/>
      <c r="L9" s="2983"/>
      <c r="M9" s="2983" t="s">
        <v>4166</v>
      </c>
      <c r="N9" s="2979"/>
      <c r="O9" s="2981"/>
      <c r="P9" s="3489" t="s">
        <v>2549</v>
      </c>
      <c r="Q9" s="1794" t="str">
        <f t="shared" ref="Q9:Q15" si="6">B9</f>
        <v>用途</v>
      </c>
      <c r="R9" s="770" t="s">
        <v>17</v>
      </c>
      <c r="S9" s="771">
        <f t="shared" si="0"/>
        <v>100</v>
      </c>
      <c r="T9" s="770" t="s">
        <v>17</v>
      </c>
      <c r="U9" s="771">
        <f t="shared" si="1"/>
        <v>100</v>
      </c>
      <c r="V9" s="770" t="s">
        <v>17</v>
      </c>
      <c r="W9" s="771">
        <f t="shared" si="2"/>
        <v>100</v>
      </c>
      <c r="X9" s="772"/>
      <c r="Y9" s="3219" t="s">
        <v>2550</v>
      </c>
      <c r="Z9" s="55" t="str">
        <f t="shared" ref="Z9:Z15" si="7">Q9</f>
        <v>用途</v>
      </c>
      <c r="AA9" s="773">
        <f t="shared" si="3"/>
        <v>1</v>
      </c>
      <c r="AB9" s="773">
        <f t="shared" si="4"/>
        <v>1</v>
      </c>
      <c r="AC9" s="773">
        <f t="shared" si="5"/>
        <v>1</v>
      </c>
    </row>
    <row r="10" spans="1:30" s="427" customFormat="1" ht="30">
      <c r="A10" s="421"/>
      <c r="B10" s="422" t="s">
        <v>2551</v>
      </c>
      <c r="C10" s="432"/>
      <c r="D10" s="136">
        <v>100</v>
      </c>
      <c r="E10" s="465"/>
      <c r="F10" s="136">
        <f>ROUND(100/'数据-取费表'!G16,0)</f>
        <v>102</v>
      </c>
      <c r="G10" s="463"/>
      <c r="H10" s="136">
        <f>ROUND(100/'数据-取费表'!G16,0)</f>
        <v>102</v>
      </c>
      <c r="I10" s="463"/>
      <c r="J10" s="136">
        <f>ROUND(100/'数据-取费表'!G16,0)</f>
        <v>102</v>
      </c>
      <c r="K10" s="672"/>
      <c r="L10" s="2980" t="s">
        <v>3397</v>
      </c>
      <c r="M10" s="2984">
        <f>ROUND(M5*O8/O5,0)</f>
        <v>8224</v>
      </c>
      <c r="N10" s="2981"/>
      <c r="O10" s="2985"/>
      <c r="P10" s="3489"/>
      <c r="Q10" s="1794" t="str">
        <f t="shared" si="6"/>
        <v>土地使用年限（年）</v>
      </c>
      <c r="R10" s="770" t="s">
        <v>17</v>
      </c>
      <c r="S10" s="771">
        <f t="shared" si="0"/>
        <v>102</v>
      </c>
      <c r="T10" s="770" t="s">
        <v>17</v>
      </c>
      <c r="U10" s="771">
        <f t="shared" si="1"/>
        <v>102</v>
      </c>
      <c r="V10" s="770" t="s">
        <v>17</v>
      </c>
      <c r="W10" s="771">
        <f t="shared" si="2"/>
        <v>102</v>
      </c>
      <c r="X10" s="772"/>
      <c r="Y10" s="3219"/>
      <c r="Z10" s="55" t="str">
        <f t="shared" si="7"/>
        <v>土地使用年限（年）</v>
      </c>
      <c r="AA10" s="773">
        <f t="shared" si="3"/>
        <v>0.98039215686274506</v>
      </c>
      <c r="AB10" s="773">
        <f t="shared" si="4"/>
        <v>0.98039215686274506</v>
      </c>
      <c r="AC10" s="773">
        <f t="shared" si="5"/>
        <v>0.98039215686274506</v>
      </c>
    </row>
    <row r="11" spans="1:30" ht="16">
      <c r="A11" s="428"/>
      <c r="B11" s="422" t="s">
        <v>2552</v>
      </c>
      <c r="C11" s="429"/>
      <c r="D11" s="136">
        <v>100</v>
      </c>
      <c r="E11" s="429"/>
      <c r="F11" s="136">
        <f>LOOKUP(E11,80:80,81:81)-LOOKUP(C11,80:80,81:81)+100</f>
        <v>100</v>
      </c>
      <c r="G11" s="430"/>
      <c r="H11" s="136">
        <f>LOOKUP(G11,80:80,81:81)-LOOKUP(C11,80:80,81:81)+100</f>
        <v>100</v>
      </c>
      <c r="I11" s="429"/>
      <c r="J11" s="136">
        <f>LOOKUP(I11,80:80,81:81)-LOOKUP(C11,80:80,81:81)+100</f>
        <v>100</v>
      </c>
      <c r="K11" s="673"/>
      <c r="L11" s="2980" t="s">
        <v>3398</v>
      </c>
      <c r="M11" s="2981">
        <f>ROUND(M6*O8/O6,0)</f>
        <v>7013</v>
      </c>
      <c r="N11" s="2981"/>
      <c r="O11" s="2985"/>
      <c r="P11" s="3489"/>
      <c r="Q11" s="1794" t="str">
        <f t="shared" si="6"/>
        <v>容积率</v>
      </c>
      <c r="R11" s="770" t="s">
        <v>17</v>
      </c>
      <c r="S11" s="771">
        <f t="shared" si="0"/>
        <v>100</v>
      </c>
      <c r="T11" s="770" t="s">
        <v>17</v>
      </c>
      <c r="U11" s="771">
        <f t="shared" si="1"/>
        <v>100</v>
      </c>
      <c r="V11" s="770" t="s">
        <v>17</v>
      </c>
      <c r="W11" s="771">
        <f t="shared" si="2"/>
        <v>100</v>
      </c>
      <c r="X11" s="772"/>
      <c r="Y11" s="3219"/>
      <c r="Z11" s="55" t="str">
        <f t="shared" si="7"/>
        <v>容积率</v>
      </c>
      <c r="AA11" s="773">
        <f t="shared" si="3"/>
        <v>1</v>
      </c>
      <c r="AB11" s="773">
        <f t="shared" si="4"/>
        <v>1</v>
      </c>
      <c r="AC11" s="773">
        <f t="shared" si="5"/>
        <v>1</v>
      </c>
    </row>
    <row r="12" spans="1:30" s="117" customFormat="1" ht="16">
      <c r="A12" s="431"/>
      <c r="B12" s="2600" t="s">
        <v>2741</v>
      </c>
      <c r="C12" s="3138"/>
      <c r="D12" s="433">
        <v>100</v>
      </c>
      <c r="E12" s="465"/>
      <c r="F12" s="136">
        <f>SUMIF(82:82,E12,83:83)-SUMIF(82:82,C12,83:83)+100</f>
        <v>100</v>
      </c>
      <c r="G12" s="463"/>
      <c r="H12" s="136">
        <f>SUMIF(82:82,G12,83:83)-SUMIF(82:82,C12,83:83)+100</f>
        <v>100</v>
      </c>
      <c r="I12" s="465"/>
      <c r="J12" s="136">
        <f>SUMIF(82:82,I12,83:83)-SUMIF(82:82,C12,83:83)+100</f>
        <v>100</v>
      </c>
      <c r="K12" s="672"/>
      <c r="L12" s="2980" t="s">
        <v>3399</v>
      </c>
      <c r="M12" s="2982">
        <f>ROUND(M7*O8/O7,0)</f>
        <v>6385</v>
      </c>
      <c r="N12" s="2981"/>
      <c r="O12" s="2985"/>
      <c r="P12" s="3489"/>
      <c r="Q12" s="1794" t="str">
        <f t="shared" si="6"/>
        <v>配建</v>
      </c>
      <c r="R12" s="770" t="s">
        <v>17</v>
      </c>
      <c r="S12" s="771">
        <f t="shared" si="0"/>
        <v>100</v>
      </c>
      <c r="T12" s="770" t="s">
        <v>17</v>
      </c>
      <c r="U12" s="771">
        <f t="shared" si="1"/>
        <v>100</v>
      </c>
      <c r="V12" s="770" t="s">
        <v>17</v>
      </c>
      <c r="W12" s="771">
        <f t="shared" si="2"/>
        <v>100</v>
      </c>
      <c r="X12" s="772"/>
      <c r="Y12" s="3219"/>
      <c r="Z12" s="55" t="str">
        <f t="shared" si="7"/>
        <v>配建</v>
      </c>
      <c r="AA12" s="773">
        <f>D12/F12</f>
        <v>1</v>
      </c>
      <c r="AB12" s="773">
        <f>D12/H12</f>
        <v>1</v>
      </c>
      <c r="AC12" s="773">
        <f>D12/J12</f>
        <v>1</v>
      </c>
    </row>
    <row r="13" spans="1:30" ht="16">
      <c r="A13" s="428"/>
      <c r="B13" s="2600" t="s">
        <v>3433</v>
      </c>
      <c r="C13" s="3136"/>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489"/>
      <c r="Q13" s="1794" t="str">
        <f t="shared" si="6"/>
        <v>限价</v>
      </c>
      <c r="R13" s="770" t="s">
        <v>17</v>
      </c>
      <c r="S13" s="771">
        <f t="shared" si="0"/>
        <v>100</v>
      </c>
      <c r="T13" s="770" t="s">
        <v>17</v>
      </c>
      <c r="U13" s="771">
        <f t="shared" si="1"/>
        <v>100</v>
      </c>
      <c r="V13" s="770" t="s">
        <v>17</v>
      </c>
      <c r="W13" s="771">
        <f t="shared" si="2"/>
        <v>100</v>
      </c>
      <c r="X13" s="772"/>
      <c r="Y13" s="3219"/>
      <c r="Z13" s="55" t="str">
        <f t="shared" si="7"/>
        <v>限价</v>
      </c>
      <c r="AA13" s="773">
        <f>D13/F13</f>
        <v>1</v>
      </c>
      <c r="AB13" s="773">
        <f>D13/H13</f>
        <v>1</v>
      </c>
      <c r="AC13" s="773">
        <f>D13/J13</f>
        <v>1</v>
      </c>
    </row>
    <row r="14" spans="1:30" ht="17" thickBot="1">
      <c r="A14" s="436"/>
      <c r="B14" s="2602"/>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489"/>
      <c r="Q14" s="1794">
        <f t="shared" si="6"/>
        <v>0</v>
      </c>
      <c r="R14" s="770" t="s">
        <v>17</v>
      </c>
      <c r="S14" s="771">
        <f t="shared" si="0"/>
        <v>100</v>
      </c>
      <c r="T14" s="770" t="s">
        <v>17</v>
      </c>
      <c r="U14" s="771">
        <f t="shared" si="1"/>
        <v>100</v>
      </c>
      <c r="V14" s="770" t="s">
        <v>17</v>
      </c>
      <c r="W14" s="771">
        <f t="shared" si="2"/>
        <v>100</v>
      </c>
      <c r="X14" s="772"/>
      <c r="Y14" s="3219"/>
      <c r="Z14" s="55">
        <f t="shared" si="7"/>
        <v>0</v>
      </c>
      <c r="AA14" s="773">
        <f>D14/F14</f>
        <v>1</v>
      </c>
      <c r="AB14" s="773">
        <f>D14/H14</f>
        <v>1</v>
      </c>
      <c r="AC14" s="773">
        <f>D14/J14</f>
        <v>1</v>
      </c>
    </row>
    <row r="15" spans="1:30" ht="105">
      <c r="A15" s="440" t="s">
        <v>2553</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104</v>
      </c>
      <c r="G15" s="442"/>
      <c r="H15" s="441">
        <f>SUMIF(88:88,G16,89:89)-SUMIF(88:88,C16,89:89)+100</f>
        <v>104</v>
      </c>
      <c r="I15" s="442"/>
      <c r="J15" s="441">
        <f>SUMIF(88:88,I16,89:89)-SUMIF(88:88,C16,89:89)+100</f>
        <v>104</v>
      </c>
      <c r="K15" s="673">
        <v>4</v>
      </c>
      <c r="L15" s="1140"/>
      <c r="M15" s="1131"/>
      <c r="N15" s="1131"/>
      <c r="O15" s="1139"/>
      <c r="P15" s="3504" t="s">
        <v>2554</v>
      </c>
      <c r="Q15" s="1809" t="str">
        <f t="shared" si="6"/>
        <v>居住社区成熟度</v>
      </c>
      <c r="R15" s="774" t="s">
        <v>17</v>
      </c>
      <c r="S15" s="775">
        <f t="shared" si="0"/>
        <v>104</v>
      </c>
      <c r="T15" s="774" t="s">
        <v>17</v>
      </c>
      <c r="U15" s="775">
        <f t="shared" si="1"/>
        <v>104</v>
      </c>
      <c r="V15" s="774" t="s">
        <v>17</v>
      </c>
      <c r="W15" s="775">
        <f t="shared" si="2"/>
        <v>104</v>
      </c>
      <c r="X15" s="1812"/>
      <c r="Y15" s="3504" t="s">
        <v>2554</v>
      </c>
      <c r="Z15" s="1813" t="str">
        <f t="shared" si="7"/>
        <v>居住社区成熟度</v>
      </c>
      <c r="AA15" s="1810">
        <f t="shared" si="3"/>
        <v>0.96153846153846156</v>
      </c>
      <c r="AB15" s="1810">
        <f t="shared" si="4"/>
        <v>0.96153846153846156</v>
      </c>
      <c r="AC15" s="1810">
        <f t="shared" si="5"/>
        <v>0.96153846153846156</v>
      </c>
    </row>
    <row r="16" spans="1:30" ht="16">
      <c r="A16" s="428"/>
      <c r="B16" s="446"/>
      <c r="C16" s="447" t="s">
        <v>3437</v>
      </c>
      <c r="D16" s="448"/>
      <c r="E16" s="2605" t="s">
        <v>3438</v>
      </c>
      <c r="F16" s="448"/>
      <c r="G16" s="2605" t="s">
        <v>3438</v>
      </c>
      <c r="H16" s="450"/>
      <c r="I16" s="2605" t="s">
        <v>3438</v>
      </c>
      <c r="J16" s="448"/>
      <c r="K16" s="672"/>
      <c r="L16" s="1140"/>
      <c r="M16" s="1131"/>
      <c r="N16" s="1131"/>
      <c r="O16" s="1139"/>
      <c r="P16" s="3505"/>
      <c r="Q16" s="1809"/>
      <c r="R16" s="774"/>
      <c r="S16" s="775"/>
      <c r="T16" s="774"/>
      <c r="U16" s="775"/>
      <c r="V16" s="774"/>
      <c r="W16" s="775"/>
      <c r="X16" s="1812"/>
      <c r="Y16" s="3505"/>
      <c r="Z16" s="1813"/>
      <c r="AA16" s="1810">
        <v>1</v>
      </c>
      <c r="AB16" s="1810">
        <v>1</v>
      </c>
      <c r="AC16" s="1810">
        <v>1</v>
      </c>
    </row>
    <row r="17" spans="1:29" ht="75">
      <c r="A17" s="428"/>
      <c r="B17" s="451" t="s">
        <v>2647</v>
      </c>
      <c r="C17" s="2664" t="str">
        <f>估价对象房地状况!C16</f>
        <v>估价对象位于XX商圈，周边商业氛围成熟，人流量大，商业繁华度好</v>
      </c>
      <c r="D17" s="450">
        <v>100</v>
      </c>
      <c r="E17" s="452"/>
      <c r="F17" s="450">
        <f>SUMIF(90:90,E18,91:91)-SUMIF(90:90,C18,91:91)+100</f>
        <v>102</v>
      </c>
      <c r="G17" s="452"/>
      <c r="H17" s="455">
        <f>SUMIF(90:90,G18,91:91)-SUMIF(90:90,C18,91:91)+100</f>
        <v>102</v>
      </c>
      <c r="I17" s="452"/>
      <c r="J17" s="455">
        <f>SUMIF(90:90,I18,91:91)-SUMIF(90:90,C18,91:91)+100</f>
        <v>100</v>
      </c>
      <c r="K17" s="673">
        <v>2</v>
      </c>
      <c r="L17" s="1140"/>
      <c r="M17" s="1131"/>
      <c r="N17" s="1131"/>
      <c r="O17" s="1139"/>
      <c r="P17" s="3505"/>
      <c r="Q17" s="1809" t="str">
        <f>B17</f>
        <v>商业繁华度</v>
      </c>
      <c r="R17" s="774" t="s">
        <v>17</v>
      </c>
      <c r="S17" s="775">
        <f>F17</f>
        <v>102</v>
      </c>
      <c r="T17" s="774" t="s">
        <v>17</v>
      </c>
      <c r="U17" s="775">
        <f>H17</f>
        <v>102</v>
      </c>
      <c r="V17" s="774" t="s">
        <v>17</v>
      </c>
      <c r="W17" s="775">
        <f>J17</f>
        <v>100</v>
      </c>
      <c r="X17" s="1812"/>
      <c r="Y17" s="3505"/>
      <c r="Z17" s="1813" t="str">
        <f>Q17</f>
        <v>商业繁华度</v>
      </c>
      <c r="AA17" s="1810">
        <f t="shared" si="3"/>
        <v>0.98039215686274506</v>
      </c>
      <c r="AB17" s="1810">
        <f t="shared" si="4"/>
        <v>0.98039215686274506</v>
      </c>
      <c r="AC17" s="1810">
        <f t="shared" si="5"/>
        <v>1</v>
      </c>
    </row>
    <row r="18" spans="1:29" ht="16">
      <c r="A18" s="428"/>
      <c r="B18" s="456"/>
      <c r="C18" s="2608" t="s">
        <v>3437</v>
      </c>
      <c r="D18" s="450"/>
      <c r="E18" s="2610" t="s">
        <v>3438</v>
      </c>
      <c r="F18" s="450"/>
      <c r="G18" s="2610" t="s">
        <v>3438</v>
      </c>
      <c r="H18" s="448"/>
      <c r="I18" s="2610" t="s">
        <v>3437</v>
      </c>
      <c r="J18" s="448"/>
      <c r="K18" s="672"/>
      <c r="L18" s="1140"/>
      <c r="M18" s="1131"/>
      <c r="N18" s="1131"/>
      <c r="O18" s="1139"/>
      <c r="P18" s="3505"/>
      <c r="Q18" s="1809"/>
      <c r="R18" s="774"/>
      <c r="S18" s="775"/>
      <c r="T18" s="774"/>
      <c r="U18" s="775"/>
      <c r="V18" s="774"/>
      <c r="W18" s="775"/>
      <c r="X18" s="1812"/>
      <c r="Y18" s="3505"/>
      <c r="Z18" s="1813"/>
      <c r="AA18" s="1810">
        <v>1</v>
      </c>
      <c r="AB18" s="1810">
        <v>1</v>
      </c>
      <c r="AC18" s="1810">
        <v>1</v>
      </c>
    </row>
    <row r="19" spans="1:29" ht="75">
      <c r="A19" s="428"/>
      <c r="B19" s="451" t="s">
        <v>2681</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40"/>
      <c r="M19" s="1131"/>
      <c r="N19" s="1131"/>
      <c r="O19" s="1139"/>
      <c r="P19" s="3505"/>
      <c r="Q19" s="1809" t="str">
        <f>B19</f>
        <v>办公集聚程度</v>
      </c>
      <c r="R19" s="774" t="s">
        <v>17</v>
      </c>
      <c r="S19" s="775">
        <f>F19</f>
        <v>100</v>
      </c>
      <c r="T19" s="774" t="s">
        <v>17</v>
      </c>
      <c r="U19" s="775">
        <f>H19</f>
        <v>100</v>
      </c>
      <c r="V19" s="774" t="s">
        <v>17</v>
      </c>
      <c r="W19" s="775">
        <f>J19</f>
        <v>100</v>
      </c>
      <c r="X19" s="1812"/>
      <c r="Y19" s="3505"/>
      <c r="Z19" s="1813" t="str">
        <f>Q19</f>
        <v>办公集聚程度</v>
      </c>
      <c r="AA19" s="1810">
        <f t="shared" si="3"/>
        <v>1</v>
      </c>
      <c r="AB19" s="1810">
        <f t="shared" si="4"/>
        <v>1</v>
      </c>
      <c r="AC19" s="1810">
        <f t="shared" si="5"/>
        <v>1</v>
      </c>
    </row>
    <row r="20" spans="1:29" ht="16">
      <c r="A20" s="428"/>
      <c r="B20" s="456"/>
      <c r="C20" s="447"/>
      <c r="D20" s="448"/>
      <c r="E20" s="2605"/>
      <c r="F20" s="448"/>
      <c r="G20" s="2605"/>
      <c r="H20" s="448"/>
      <c r="I20" s="2605"/>
      <c r="J20" s="448"/>
      <c r="K20" s="672"/>
      <c r="L20" s="1140"/>
      <c r="M20" s="1131"/>
      <c r="N20" s="1131"/>
      <c r="O20" s="1139"/>
      <c r="P20" s="3505"/>
      <c r="Q20" s="1809"/>
      <c r="R20" s="774"/>
      <c r="S20" s="775"/>
      <c r="T20" s="774"/>
      <c r="U20" s="775"/>
      <c r="V20" s="774"/>
      <c r="W20" s="775"/>
      <c r="X20" s="1812"/>
      <c r="Y20" s="3505"/>
      <c r="Z20" s="1813"/>
      <c r="AA20" s="1810">
        <v>1</v>
      </c>
      <c r="AB20" s="1810">
        <v>1</v>
      </c>
      <c r="AC20" s="1810">
        <v>1</v>
      </c>
    </row>
    <row r="21" spans="1:29" ht="90">
      <c r="A21" s="428"/>
      <c r="B21" s="451" t="s">
        <v>2703</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3"/>
      <c r="L21" s="1140"/>
      <c r="M21" s="1131"/>
      <c r="N21" s="1131"/>
      <c r="O21" s="1139"/>
      <c r="P21" s="3505"/>
      <c r="Q21" s="1809" t="str">
        <f>B21</f>
        <v>交通便捷度</v>
      </c>
      <c r="R21" s="774" t="s">
        <v>17</v>
      </c>
      <c r="S21" s="775">
        <f>F21</f>
        <v>100</v>
      </c>
      <c r="T21" s="774" t="s">
        <v>17</v>
      </c>
      <c r="U21" s="775">
        <f>H21</f>
        <v>100</v>
      </c>
      <c r="V21" s="774" t="s">
        <v>17</v>
      </c>
      <c r="W21" s="775">
        <f>J21</f>
        <v>100</v>
      </c>
      <c r="X21" s="1812"/>
      <c r="Y21" s="3505"/>
      <c r="Z21" s="1813" t="str">
        <f>Q21</f>
        <v>交通便捷度</v>
      </c>
      <c r="AA21" s="1810">
        <f t="shared" si="3"/>
        <v>1</v>
      </c>
      <c r="AB21" s="1810">
        <f t="shared" si="4"/>
        <v>1</v>
      </c>
      <c r="AC21" s="1810">
        <f t="shared" si="5"/>
        <v>1</v>
      </c>
    </row>
    <row r="22" spans="1:29" ht="16">
      <c r="A22" s="428"/>
      <c r="B22" s="1384"/>
      <c r="C22" s="447"/>
      <c r="D22" s="450"/>
      <c r="E22" s="2605"/>
      <c r="F22" s="448"/>
      <c r="G22" s="2605"/>
      <c r="H22" s="448"/>
      <c r="I22" s="2605"/>
      <c r="J22" s="448"/>
      <c r="K22" s="672"/>
      <c r="L22" s="1140"/>
      <c r="M22" s="1131"/>
      <c r="N22" s="1131"/>
      <c r="O22" s="1139"/>
      <c r="P22" s="3505"/>
      <c r="Q22" s="1809"/>
      <c r="R22" s="774"/>
      <c r="S22" s="775"/>
      <c r="T22" s="774"/>
      <c r="U22" s="775"/>
      <c r="V22" s="774"/>
      <c r="W22" s="775"/>
      <c r="X22" s="1812"/>
      <c r="Y22" s="3505"/>
      <c r="Z22" s="1813"/>
      <c r="AA22" s="1810">
        <v>1</v>
      </c>
      <c r="AB22" s="1810">
        <v>1</v>
      </c>
      <c r="AC22" s="1810">
        <v>1</v>
      </c>
    </row>
    <row r="23" spans="1:29" ht="16">
      <c r="A23" s="404"/>
      <c r="B23" s="451" t="s">
        <v>2742</v>
      </c>
      <c r="C23" s="1389">
        <f>估价对象房地状况!C19</f>
        <v>0</v>
      </c>
      <c r="D23" s="455">
        <v>100</v>
      </c>
      <c r="E23" s="454"/>
      <c r="F23" s="455">
        <f>SUMIF(96:96,E24,97:97)-SUMIF(96:96,C24,97:97)+100</f>
        <v>100</v>
      </c>
      <c r="G23" s="454"/>
      <c r="H23" s="455">
        <f>SUMIF(96:96,G24,97:97)-SUMIF(96:96,C24,97:97)+100</f>
        <v>100</v>
      </c>
      <c r="I23" s="454"/>
      <c r="J23" s="455">
        <f>SUMIF(96:96,I24,97:97)-SUMIF(96:96,C24,97:97)+100</f>
        <v>100</v>
      </c>
      <c r="K23" s="673"/>
      <c r="L23" s="1140"/>
      <c r="M23" s="1131"/>
      <c r="N23" s="1131"/>
      <c r="O23" s="1139"/>
      <c r="P23" s="3505"/>
      <c r="Q23" s="1809" t="str">
        <f t="shared" ref="Q23:Q37" si="8">B23</f>
        <v>区域土地利用方向</v>
      </c>
      <c r="R23" s="774" t="s">
        <v>17</v>
      </c>
      <c r="S23" s="775">
        <f>F23</f>
        <v>100</v>
      </c>
      <c r="T23" s="774" t="s">
        <v>17</v>
      </c>
      <c r="U23" s="775">
        <f>H23</f>
        <v>100</v>
      </c>
      <c r="V23" s="774" t="s">
        <v>17</v>
      </c>
      <c r="W23" s="775">
        <f>J23</f>
        <v>100</v>
      </c>
      <c r="X23" s="1812"/>
      <c r="Y23" s="3505"/>
      <c r="Z23" s="1813" t="str">
        <f>Q23</f>
        <v>区域土地利用方向</v>
      </c>
      <c r="AA23" s="1810">
        <f t="shared" si="3"/>
        <v>1</v>
      </c>
      <c r="AB23" s="1810">
        <f t="shared" si="4"/>
        <v>1</v>
      </c>
      <c r="AC23" s="1810">
        <f t="shared" si="5"/>
        <v>1</v>
      </c>
    </row>
    <row r="24" spans="1:29" ht="16">
      <c r="A24" s="404"/>
      <c r="B24" s="456"/>
      <c r="C24" s="616"/>
      <c r="D24" s="448"/>
      <c r="E24" s="2604"/>
      <c r="F24" s="448"/>
      <c r="G24" s="2604"/>
      <c r="H24" s="448"/>
      <c r="I24" s="2604"/>
      <c r="J24" s="448"/>
      <c r="K24" s="812"/>
      <c r="L24" s="1140"/>
      <c r="M24" s="1131"/>
      <c r="N24" s="1131"/>
      <c r="O24" s="1139"/>
      <c r="P24" s="3505"/>
      <c r="Q24" s="1809"/>
      <c r="R24" s="774"/>
      <c r="S24" s="775"/>
      <c r="T24" s="774"/>
      <c r="U24" s="775"/>
      <c r="V24" s="774"/>
      <c r="W24" s="775"/>
      <c r="X24" s="1812"/>
      <c r="Y24" s="3505"/>
      <c r="Z24" s="1813"/>
      <c r="AA24" s="1810"/>
      <c r="AB24" s="1810"/>
      <c r="AC24" s="1810"/>
    </row>
    <row r="25" spans="1:29" ht="60">
      <c r="A25" s="404"/>
      <c r="B25" s="1384" t="s">
        <v>2743</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c r="L25" s="1140"/>
      <c r="M25" s="1131"/>
      <c r="N25" s="1131"/>
      <c r="O25" s="1139"/>
      <c r="P25" s="3505"/>
      <c r="Q25" s="1809" t="str">
        <f t="shared" si="8"/>
        <v>自然及人文环境状况</v>
      </c>
      <c r="R25" s="774" t="s">
        <v>17</v>
      </c>
      <c r="S25" s="775">
        <f>F25</f>
        <v>100</v>
      </c>
      <c r="T25" s="774" t="s">
        <v>17</v>
      </c>
      <c r="U25" s="775">
        <f>H25</f>
        <v>100</v>
      </c>
      <c r="V25" s="774" t="s">
        <v>17</v>
      </c>
      <c r="W25" s="775">
        <f>J25</f>
        <v>100</v>
      </c>
      <c r="X25" s="1812"/>
      <c r="Y25" s="3505"/>
      <c r="Z25" s="1813" t="str">
        <f>Q25</f>
        <v>自然及人文环境状况</v>
      </c>
      <c r="AA25" s="1810">
        <f t="shared" si="3"/>
        <v>1</v>
      </c>
      <c r="AB25" s="1810">
        <f t="shared" si="4"/>
        <v>1</v>
      </c>
      <c r="AC25" s="1810">
        <f t="shared" si="5"/>
        <v>1</v>
      </c>
    </row>
    <row r="26" spans="1:29" ht="16">
      <c r="A26" s="404"/>
      <c r="B26" s="456"/>
      <c r="C26" s="447"/>
      <c r="D26" s="448"/>
      <c r="E26" s="2611"/>
      <c r="F26" s="448"/>
      <c r="G26" s="2611"/>
      <c r="H26" s="448"/>
      <c r="I26" s="2611"/>
      <c r="J26" s="448"/>
      <c r="K26" s="672"/>
      <c r="L26" s="1140"/>
      <c r="M26" s="1131"/>
      <c r="N26" s="1131"/>
      <c r="O26" s="1139"/>
      <c r="P26" s="3505"/>
      <c r="Q26" s="1809"/>
      <c r="R26" s="774"/>
      <c r="S26" s="775"/>
      <c r="T26" s="774"/>
      <c r="U26" s="775"/>
      <c r="V26" s="774"/>
      <c r="W26" s="775"/>
      <c r="X26" s="1812"/>
      <c r="Y26" s="3505"/>
      <c r="Z26" s="1813"/>
      <c r="AA26" s="1810">
        <v>1</v>
      </c>
      <c r="AB26" s="1810">
        <v>1</v>
      </c>
      <c r="AC26" s="1810">
        <v>1</v>
      </c>
    </row>
    <row r="27" spans="1:29" s="117" customFormat="1" ht="45">
      <c r="A27" s="649"/>
      <c r="B27" s="1384" t="s">
        <v>2648</v>
      </c>
      <c r="C27" s="2607"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2"/>
      <c r="J27" s="450">
        <f>SUMIF(100:100,I28,101:101)-SUMIF(100:100,C28,101:101)+100</f>
        <v>105</v>
      </c>
      <c r="K27" s="673">
        <v>5</v>
      </c>
      <c r="L27" s="1132"/>
      <c r="M27" s="1133"/>
      <c r="N27" s="1133"/>
      <c r="O27" s="1134"/>
      <c r="P27" s="3505"/>
      <c r="Q27" s="1794" t="str">
        <f t="shared" si="8"/>
        <v>公共配套设施</v>
      </c>
      <c r="R27" s="770" t="s">
        <v>17</v>
      </c>
      <c r="S27" s="771">
        <f>F27</f>
        <v>105</v>
      </c>
      <c r="T27" s="770" t="s">
        <v>17</v>
      </c>
      <c r="U27" s="771">
        <f>H27</f>
        <v>105</v>
      </c>
      <c r="V27" s="770" t="s">
        <v>17</v>
      </c>
      <c r="W27" s="771">
        <f>J27</f>
        <v>105</v>
      </c>
      <c r="X27" s="772"/>
      <c r="Y27" s="3505"/>
      <c r="Z27" s="55" t="str">
        <f>Q27</f>
        <v>公共配套设施</v>
      </c>
      <c r="AA27" s="1810">
        <f>D27/F27</f>
        <v>0.95238095238095233</v>
      </c>
      <c r="AB27" s="1810">
        <f>D27/H27</f>
        <v>0.95238095238095233</v>
      </c>
      <c r="AC27" s="1810">
        <f>D27/J27</f>
        <v>0.95238095238095233</v>
      </c>
    </row>
    <row r="28" spans="1:29" s="117" customFormat="1" ht="16">
      <c r="A28" s="649"/>
      <c r="B28" s="456"/>
      <c r="C28" s="2700" t="s">
        <v>3437</v>
      </c>
      <c r="D28" s="448"/>
      <c r="E28" s="2611" t="s">
        <v>3438</v>
      </c>
      <c r="F28" s="448"/>
      <c r="G28" s="2611" t="s">
        <v>3438</v>
      </c>
      <c r="H28" s="448"/>
      <c r="I28" s="2611" t="s">
        <v>3438</v>
      </c>
      <c r="J28" s="448"/>
      <c r="K28" s="672"/>
      <c r="L28" s="1132"/>
      <c r="M28" s="1133"/>
      <c r="N28" s="1133"/>
      <c r="O28" s="1134"/>
      <c r="P28" s="3505"/>
      <c r="Q28" s="1794"/>
      <c r="R28" s="770"/>
      <c r="S28" s="771"/>
      <c r="T28" s="770"/>
      <c r="U28" s="771"/>
      <c r="V28" s="770"/>
      <c r="W28" s="771"/>
      <c r="X28" s="772"/>
      <c r="Y28" s="3505"/>
      <c r="Z28" s="55"/>
      <c r="AA28" s="1810">
        <v>1</v>
      </c>
      <c r="AB28" s="1810">
        <v>1</v>
      </c>
      <c r="AC28" s="1810">
        <v>1</v>
      </c>
    </row>
    <row r="29" spans="1:29" s="117" customFormat="1" ht="30">
      <c r="A29" s="649"/>
      <c r="B29" s="1384" t="s">
        <v>2649</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505"/>
      <c r="Q29" s="1794" t="str">
        <f t="shared" ref="Q29" si="9">B29</f>
        <v>基础设施水平</v>
      </c>
      <c r="R29" s="770" t="s">
        <v>17</v>
      </c>
      <c r="S29" s="771">
        <f>F29</f>
        <v>100</v>
      </c>
      <c r="T29" s="770" t="s">
        <v>17</v>
      </c>
      <c r="U29" s="771">
        <f>H29</f>
        <v>100</v>
      </c>
      <c r="V29" s="770" t="s">
        <v>17</v>
      </c>
      <c r="W29" s="771">
        <f>J29</f>
        <v>100</v>
      </c>
      <c r="X29" s="772"/>
      <c r="Y29" s="3505"/>
      <c r="Z29" s="55" t="str">
        <f>Q29</f>
        <v>基础设施水平</v>
      </c>
      <c r="AA29" s="1810">
        <f>D29/F29</f>
        <v>1</v>
      </c>
      <c r="AB29" s="1810">
        <f>D29/H29</f>
        <v>1</v>
      </c>
      <c r="AC29" s="1810">
        <f>D29/J29</f>
        <v>1</v>
      </c>
    </row>
    <row r="30" spans="1:29" s="117" customFormat="1" ht="16">
      <c r="A30" s="649"/>
      <c r="B30" s="456"/>
      <c r="C30" s="2700"/>
      <c r="D30" s="448"/>
      <c r="E30" s="2701"/>
      <c r="F30" s="448"/>
      <c r="G30" s="2701"/>
      <c r="H30" s="448"/>
      <c r="I30" s="2701"/>
      <c r="J30" s="448"/>
      <c r="K30" s="672"/>
      <c r="L30" s="1132"/>
      <c r="M30" s="1133"/>
      <c r="N30" s="1133"/>
      <c r="O30" s="1134"/>
      <c r="P30" s="3505"/>
      <c r="Q30" s="1794"/>
      <c r="R30" s="770"/>
      <c r="S30" s="771"/>
      <c r="T30" s="770"/>
      <c r="U30" s="771"/>
      <c r="V30" s="770"/>
      <c r="W30" s="771"/>
      <c r="X30" s="772"/>
      <c r="Y30" s="3505"/>
      <c r="Z30" s="55"/>
      <c r="AA30" s="1810">
        <v>1</v>
      </c>
      <c r="AB30" s="1810">
        <v>1</v>
      </c>
      <c r="AC30" s="1810">
        <v>1</v>
      </c>
    </row>
    <row r="31" spans="1:29" ht="16">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50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505"/>
      <c r="Z31" s="1813" t="str">
        <f t="shared" ref="Z31:Z45" si="13">Q31</f>
        <v>临街状况</v>
      </c>
      <c r="AA31" s="1810">
        <f t="shared" si="3"/>
        <v>1</v>
      </c>
      <c r="AB31" s="1810">
        <f t="shared" si="4"/>
        <v>1</v>
      </c>
      <c r="AC31" s="1810">
        <f t="shared" si="5"/>
        <v>1</v>
      </c>
    </row>
    <row r="32" spans="1:29" ht="30">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505"/>
      <c r="Q32" s="1809" t="str">
        <f t="shared" si="8"/>
        <v>毗邻道路的类型与等级</v>
      </c>
      <c r="R32" s="774" t="s">
        <v>17</v>
      </c>
      <c r="S32" s="775">
        <f t="shared" si="10"/>
        <v>100</v>
      </c>
      <c r="T32" s="774" t="s">
        <v>17</v>
      </c>
      <c r="U32" s="775">
        <f t="shared" si="11"/>
        <v>100</v>
      </c>
      <c r="V32" s="774" t="s">
        <v>17</v>
      </c>
      <c r="W32" s="775">
        <f t="shared" si="12"/>
        <v>100</v>
      </c>
      <c r="X32" s="1812"/>
      <c r="Y32" s="3505"/>
      <c r="Z32" s="1813" t="str">
        <f t="shared" si="13"/>
        <v>毗邻道路的类型与等级</v>
      </c>
      <c r="AA32" s="1810">
        <f t="shared" si="3"/>
        <v>1</v>
      </c>
      <c r="AB32" s="1810">
        <f t="shared" si="4"/>
        <v>1</v>
      </c>
      <c r="AC32" s="1810">
        <f t="shared" si="5"/>
        <v>1</v>
      </c>
    </row>
    <row r="33" spans="1:29" ht="16">
      <c r="A33" s="428"/>
      <c r="B33" s="456"/>
      <c r="C33" s="447"/>
      <c r="D33" s="448"/>
      <c r="E33" s="2611"/>
      <c r="F33" s="448"/>
      <c r="G33" s="2611"/>
      <c r="H33" s="448"/>
      <c r="I33" s="447"/>
      <c r="J33" s="448"/>
      <c r="K33" s="613"/>
      <c r="L33" s="1140"/>
      <c r="M33" s="1131"/>
      <c r="N33" s="1131"/>
      <c r="O33" s="1139"/>
      <c r="P33" s="3505"/>
      <c r="Q33" s="1809"/>
      <c r="R33" s="774"/>
      <c r="S33" s="775"/>
      <c r="T33" s="774"/>
      <c r="U33" s="775"/>
      <c r="V33" s="774"/>
      <c r="W33" s="775"/>
      <c r="X33" s="1812"/>
      <c r="Y33" s="3505"/>
      <c r="Z33" s="1813"/>
      <c r="AA33" s="1810">
        <v>1</v>
      </c>
      <c r="AB33" s="1810">
        <v>1</v>
      </c>
      <c r="AC33" s="1810">
        <v>1</v>
      </c>
    </row>
    <row r="34" spans="1:29" ht="16">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505"/>
      <c r="Q34" s="1809" t="str">
        <f t="shared" si="8"/>
        <v>土地级别</v>
      </c>
      <c r="R34" s="774" t="s">
        <v>17</v>
      </c>
      <c r="S34" s="775">
        <f t="shared" si="10"/>
        <v>100</v>
      </c>
      <c r="T34" s="774" t="s">
        <v>17</v>
      </c>
      <c r="U34" s="775">
        <f t="shared" si="11"/>
        <v>100</v>
      </c>
      <c r="V34" s="774" t="s">
        <v>17</v>
      </c>
      <c r="W34" s="775">
        <f t="shared" si="12"/>
        <v>100</v>
      </c>
      <c r="X34" s="1812"/>
      <c r="Y34" s="3505"/>
      <c r="Z34" s="1813" t="str">
        <f t="shared" si="13"/>
        <v>土地级别</v>
      </c>
      <c r="AA34" s="1810">
        <f t="shared" si="3"/>
        <v>1</v>
      </c>
      <c r="AB34" s="1810">
        <f t="shared" si="4"/>
        <v>1</v>
      </c>
      <c r="AC34" s="1810">
        <f t="shared" si="5"/>
        <v>1</v>
      </c>
    </row>
    <row r="35" spans="1:29" ht="16">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505"/>
      <c r="Q35" s="1809">
        <f t="shared" si="8"/>
        <v>0</v>
      </c>
      <c r="R35" s="774" t="s">
        <v>17</v>
      </c>
      <c r="S35" s="775">
        <f t="shared" si="10"/>
        <v>100</v>
      </c>
      <c r="T35" s="774" t="s">
        <v>17</v>
      </c>
      <c r="U35" s="775">
        <f t="shared" si="11"/>
        <v>100</v>
      </c>
      <c r="V35" s="774" t="s">
        <v>17</v>
      </c>
      <c r="W35" s="775">
        <f t="shared" si="12"/>
        <v>100</v>
      </c>
      <c r="X35" s="1812"/>
      <c r="Y35" s="3505"/>
      <c r="Z35" s="1813">
        <f t="shared" si="13"/>
        <v>0</v>
      </c>
      <c r="AA35" s="1810">
        <f t="shared" si="3"/>
        <v>1</v>
      </c>
      <c r="AB35" s="1810">
        <f t="shared" si="4"/>
        <v>1</v>
      </c>
      <c r="AC35" s="1810">
        <f t="shared" si="5"/>
        <v>1</v>
      </c>
    </row>
    <row r="36" spans="1:29" ht="16">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506" t="s">
        <v>2559</v>
      </c>
      <c r="Q36" s="1809">
        <f t="shared" si="8"/>
        <v>0</v>
      </c>
      <c r="R36" s="774" t="s">
        <v>17</v>
      </c>
      <c r="S36" s="775">
        <f t="shared" si="10"/>
        <v>100</v>
      </c>
      <c r="T36" s="774" t="s">
        <v>17</v>
      </c>
      <c r="U36" s="775">
        <f t="shared" si="11"/>
        <v>100</v>
      </c>
      <c r="V36" s="774" t="s">
        <v>17</v>
      </c>
      <c r="W36" s="775">
        <f t="shared" si="12"/>
        <v>100</v>
      </c>
      <c r="X36" s="1812"/>
      <c r="Y36" s="3507" t="s">
        <v>2559</v>
      </c>
      <c r="Z36" s="1813">
        <f t="shared" si="13"/>
        <v>0</v>
      </c>
      <c r="AA36" s="1810">
        <f t="shared" si="3"/>
        <v>1</v>
      </c>
      <c r="AB36" s="1810">
        <f t="shared" si="4"/>
        <v>1</v>
      </c>
      <c r="AC36" s="1810">
        <f t="shared" si="5"/>
        <v>1</v>
      </c>
    </row>
    <row r="37" spans="1:29" s="471" customFormat="1" ht="17"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507"/>
      <c r="Q37" s="1809">
        <f t="shared" si="8"/>
        <v>0</v>
      </c>
      <c r="R37" s="777" t="s">
        <v>17</v>
      </c>
      <c r="S37" s="778">
        <f t="shared" si="10"/>
        <v>100</v>
      </c>
      <c r="T37" s="777" t="s">
        <v>17</v>
      </c>
      <c r="U37" s="778">
        <f t="shared" si="11"/>
        <v>100</v>
      </c>
      <c r="V37" s="777" t="s">
        <v>17</v>
      </c>
      <c r="W37" s="778">
        <f t="shared" si="12"/>
        <v>100</v>
      </c>
      <c r="X37" s="779"/>
      <c r="Y37" s="3507"/>
      <c r="Z37" s="780">
        <f t="shared" si="13"/>
        <v>0</v>
      </c>
      <c r="AA37" s="1810">
        <f t="shared" si="3"/>
        <v>1</v>
      </c>
      <c r="AB37" s="1810">
        <f t="shared" si="4"/>
        <v>1</v>
      </c>
      <c r="AC37" s="1810">
        <f t="shared" si="5"/>
        <v>1</v>
      </c>
    </row>
    <row r="38" spans="1:29" ht="20">
      <c r="A38" s="472" t="s">
        <v>2557</v>
      </c>
      <c r="B38" s="456" t="s">
        <v>2745</v>
      </c>
      <c r="C38" s="679">
        <f>'数据-汇总表'!D3</f>
        <v>535778.54</v>
      </c>
      <c r="D38" s="467">
        <v>100</v>
      </c>
      <c r="E38" s="679">
        <f>'土地案例（南昌县-住宅）'!I5</f>
        <v>53404</v>
      </c>
      <c r="F38" s="467">
        <f>LOOKUP(E38,117:117,118:118)-LOOKUP(C38,117:117,118:118)+100</f>
        <v>100</v>
      </c>
      <c r="G38" s="679">
        <f>'土地案例（南昌县-住宅）'!I7</f>
        <v>69928</v>
      </c>
      <c r="H38" s="467">
        <f>LOOKUP(G38,117:117,118:118)-LOOKUP(C38,117:117,118:118)+100</f>
        <v>100</v>
      </c>
      <c r="I38" s="530">
        <f>'土地案例（南昌县-住宅）'!I40</f>
        <v>53860</v>
      </c>
      <c r="J38" s="467">
        <f>LOOKUP(I38,117:117,118:118)-LOOKUP(C38,117:117,118:118)+100</f>
        <v>100</v>
      </c>
      <c r="K38" s="613"/>
      <c r="L38" s="1140"/>
      <c r="M38" s="1131"/>
      <c r="N38" s="1131"/>
      <c r="O38" s="1139"/>
      <c r="P38" s="3507"/>
      <c r="Q38" s="1809" t="str">
        <f>B38</f>
        <v>宗地面积</v>
      </c>
      <c r="R38" s="774" t="s">
        <v>17</v>
      </c>
      <c r="S38" s="775">
        <f t="shared" si="10"/>
        <v>100</v>
      </c>
      <c r="T38" s="774" t="s">
        <v>17</v>
      </c>
      <c r="U38" s="775">
        <f t="shared" si="11"/>
        <v>100</v>
      </c>
      <c r="V38" s="774" t="s">
        <v>17</v>
      </c>
      <c r="W38" s="775">
        <f t="shared" si="12"/>
        <v>100</v>
      </c>
      <c r="X38" s="1812"/>
      <c r="Y38" s="3507"/>
      <c r="Z38" s="1813" t="str">
        <f t="shared" si="13"/>
        <v>宗地面积</v>
      </c>
      <c r="AA38" s="1810">
        <f t="shared" si="3"/>
        <v>1</v>
      </c>
      <c r="AB38" s="1810">
        <f t="shared" si="4"/>
        <v>1</v>
      </c>
      <c r="AC38" s="1810">
        <f t="shared" si="5"/>
        <v>1</v>
      </c>
    </row>
    <row r="39" spans="1:29" ht="16">
      <c r="A39" s="472"/>
      <c r="B39" s="422" t="s">
        <v>2746</v>
      </c>
      <c r="C39" s="2613" t="s">
        <v>3430</v>
      </c>
      <c r="D39" s="435">
        <v>100</v>
      </c>
      <c r="E39" s="2613" t="s">
        <v>3428</v>
      </c>
      <c r="F39" s="435">
        <f>SUMIF(119:119,E39,120:120)-SUMIF(119:119,C39,120:120)+100</f>
        <v>105</v>
      </c>
      <c r="G39" s="2613" t="s">
        <v>3428</v>
      </c>
      <c r="H39" s="435">
        <f>SUMIF(119:119,G39,120:120)-SUMIF(119:119,C39,120:120)+100</f>
        <v>105</v>
      </c>
      <c r="I39" s="2613" t="s">
        <v>3428</v>
      </c>
      <c r="J39" s="435">
        <f>SUMIF(119:119,I39,120:120)-SUMIF(119:119,C39,120:120)+100</f>
        <v>105</v>
      </c>
      <c r="K39" s="612">
        <v>5</v>
      </c>
      <c r="L39" s="1140"/>
      <c r="M39" s="1131"/>
      <c r="N39" s="1131"/>
      <c r="O39" s="1139"/>
      <c r="P39" s="3507"/>
      <c r="Q39" s="1809" t="str">
        <f t="shared" ref="Q39:Q45" si="14">B39</f>
        <v>宗地形状</v>
      </c>
      <c r="R39" s="774" t="s">
        <v>17</v>
      </c>
      <c r="S39" s="775">
        <f t="shared" si="10"/>
        <v>105</v>
      </c>
      <c r="T39" s="774" t="s">
        <v>17</v>
      </c>
      <c r="U39" s="775">
        <f t="shared" si="11"/>
        <v>105</v>
      </c>
      <c r="V39" s="774" t="s">
        <v>17</v>
      </c>
      <c r="W39" s="775">
        <f t="shared" si="12"/>
        <v>105</v>
      </c>
      <c r="X39" s="1812"/>
      <c r="Y39" s="3507"/>
      <c r="Z39" s="1813" t="str">
        <f t="shared" si="13"/>
        <v>宗地形状</v>
      </c>
      <c r="AA39" s="1810">
        <f t="shared" si="3"/>
        <v>0.95238095238095233</v>
      </c>
      <c r="AB39" s="1810">
        <f t="shared" si="4"/>
        <v>0.95238095238095233</v>
      </c>
      <c r="AC39" s="1810">
        <f t="shared" si="5"/>
        <v>0.95238095238095233</v>
      </c>
    </row>
    <row r="40" spans="1:29" ht="16">
      <c r="A40" s="472"/>
      <c r="B40" s="422" t="s">
        <v>2747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507"/>
      <c r="Q40" s="1809" t="str">
        <f t="shared" si="14"/>
        <v>临街宽度及深度</v>
      </c>
      <c r="R40" s="774" t="s">
        <v>17</v>
      </c>
      <c r="S40" s="775">
        <f t="shared" si="10"/>
        <v>100</v>
      </c>
      <c r="T40" s="774" t="s">
        <v>17</v>
      </c>
      <c r="U40" s="775">
        <f t="shared" si="11"/>
        <v>100</v>
      </c>
      <c r="V40" s="774" t="s">
        <v>17</v>
      </c>
      <c r="W40" s="775">
        <f t="shared" si="12"/>
        <v>100</v>
      </c>
      <c r="X40" s="1812"/>
      <c r="Y40" s="3507"/>
      <c r="Z40" s="1813" t="str">
        <f t="shared" si="13"/>
        <v>临街宽度及深度</v>
      </c>
      <c r="AA40" s="1810">
        <f t="shared" si="3"/>
        <v>1</v>
      </c>
      <c r="AB40" s="1810">
        <f t="shared" si="4"/>
        <v>1</v>
      </c>
      <c r="AC40" s="1810">
        <f t="shared" si="5"/>
        <v>1</v>
      </c>
    </row>
    <row r="41" spans="1:29" s="117" customFormat="1" ht="16">
      <c r="A41" s="473"/>
      <c r="B41" s="422" t="s">
        <v>2748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507"/>
      <c r="Q41" s="1809" t="str">
        <f t="shared" si="14"/>
        <v>宗地开发程度</v>
      </c>
      <c r="R41" s="770" t="s">
        <v>17</v>
      </c>
      <c r="S41" s="771">
        <f t="shared" si="10"/>
        <v>100</v>
      </c>
      <c r="T41" s="770" t="s">
        <v>17</v>
      </c>
      <c r="U41" s="771">
        <f t="shared" si="11"/>
        <v>100</v>
      </c>
      <c r="V41" s="770" t="s">
        <v>17</v>
      </c>
      <c r="W41" s="771">
        <f t="shared" si="12"/>
        <v>100</v>
      </c>
      <c r="X41" s="772"/>
      <c r="Y41" s="3507"/>
      <c r="Z41" s="55" t="str">
        <f t="shared" si="13"/>
        <v>宗地开发程度</v>
      </c>
      <c r="AA41" s="773">
        <f t="shared" si="3"/>
        <v>1</v>
      </c>
      <c r="AB41" s="773">
        <f t="shared" si="4"/>
        <v>1</v>
      </c>
      <c r="AC41" s="773">
        <f t="shared" si="5"/>
        <v>1</v>
      </c>
    </row>
    <row r="42" spans="1:29" ht="16">
      <c r="A42" s="472"/>
      <c r="B42" s="422" t="s">
        <v>2749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507" t="s">
        <v>2559</v>
      </c>
      <c r="Q42" s="1809" t="str">
        <f t="shared" si="14"/>
        <v>工程地质条件</v>
      </c>
      <c r="R42" s="774" t="s">
        <v>17</v>
      </c>
      <c r="S42" s="775">
        <f t="shared" si="10"/>
        <v>100</v>
      </c>
      <c r="T42" s="774" t="s">
        <v>17</v>
      </c>
      <c r="U42" s="775">
        <f t="shared" si="11"/>
        <v>100</v>
      </c>
      <c r="V42" s="774" t="s">
        <v>17</v>
      </c>
      <c r="W42" s="775">
        <f t="shared" si="12"/>
        <v>100</v>
      </c>
      <c r="X42" s="1812"/>
      <c r="Y42" s="3507" t="s">
        <v>2559</v>
      </c>
      <c r="Z42" s="1813" t="str">
        <f t="shared" si="13"/>
        <v>工程地质条件</v>
      </c>
      <c r="AA42" s="1810">
        <f t="shared" si="3"/>
        <v>1</v>
      </c>
      <c r="AB42" s="1810">
        <f t="shared" si="4"/>
        <v>1</v>
      </c>
      <c r="AC42" s="1810">
        <f t="shared" si="5"/>
        <v>1</v>
      </c>
    </row>
    <row r="43" spans="1:29" ht="16">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507"/>
      <c r="Q43" s="1809">
        <f t="shared" si="14"/>
        <v>0</v>
      </c>
      <c r="R43" s="774" t="s">
        <v>17</v>
      </c>
      <c r="S43" s="775">
        <f t="shared" si="10"/>
        <v>100</v>
      </c>
      <c r="T43" s="774" t="s">
        <v>17</v>
      </c>
      <c r="U43" s="775">
        <f t="shared" si="11"/>
        <v>100</v>
      </c>
      <c r="V43" s="774" t="s">
        <v>17</v>
      </c>
      <c r="W43" s="775">
        <f t="shared" si="12"/>
        <v>100</v>
      </c>
      <c r="X43" s="1812"/>
      <c r="Y43" s="3507"/>
      <c r="Z43" s="1813">
        <f t="shared" si="13"/>
        <v>0</v>
      </c>
      <c r="AA43" s="1810">
        <f t="shared" si="3"/>
        <v>1</v>
      </c>
      <c r="AB43" s="1810">
        <f t="shared" si="4"/>
        <v>1</v>
      </c>
      <c r="AC43" s="1810">
        <f t="shared" si="5"/>
        <v>1</v>
      </c>
    </row>
    <row r="44" spans="1:29" ht="16">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507"/>
      <c r="Q44" s="1809">
        <f t="shared" si="14"/>
        <v>0</v>
      </c>
      <c r="R44" s="774" t="s">
        <v>17</v>
      </c>
      <c r="S44" s="775">
        <f t="shared" si="10"/>
        <v>100</v>
      </c>
      <c r="T44" s="774" t="s">
        <v>17</v>
      </c>
      <c r="U44" s="775">
        <f t="shared" si="11"/>
        <v>100</v>
      </c>
      <c r="V44" s="774" t="s">
        <v>17</v>
      </c>
      <c r="W44" s="775">
        <f t="shared" si="12"/>
        <v>100</v>
      </c>
      <c r="X44" s="1812"/>
      <c r="Y44" s="3507"/>
      <c r="Z44" s="1813">
        <f t="shared" si="13"/>
        <v>0</v>
      </c>
      <c r="AA44" s="1810">
        <f t="shared" si="3"/>
        <v>1</v>
      </c>
      <c r="AB44" s="1810">
        <f t="shared" si="4"/>
        <v>1</v>
      </c>
      <c r="AC44" s="1810">
        <f t="shared" si="5"/>
        <v>1</v>
      </c>
    </row>
    <row r="45" spans="1:29" s="471" customFormat="1" ht="17" thickBot="1">
      <c r="A45" s="468"/>
      <c r="B45" s="1387"/>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507"/>
      <c r="Q45" s="1809">
        <f t="shared" si="14"/>
        <v>0</v>
      </c>
      <c r="R45" s="777" t="s">
        <v>17</v>
      </c>
      <c r="S45" s="778">
        <f t="shared" si="10"/>
        <v>100</v>
      </c>
      <c r="T45" s="777" t="s">
        <v>17</v>
      </c>
      <c r="U45" s="778">
        <f t="shared" si="11"/>
        <v>100</v>
      </c>
      <c r="V45" s="777" t="s">
        <v>17</v>
      </c>
      <c r="W45" s="778">
        <f t="shared" si="12"/>
        <v>100</v>
      </c>
      <c r="X45" s="779"/>
      <c r="Y45" s="3507"/>
      <c r="Z45" s="780">
        <f t="shared" si="13"/>
        <v>0</v>
      </c>
      <c r="AA45" s="1810">
        <f t="shared" si="3"/>
        <v>1</v>
      </c>
      <c r="AB45" s="1810">
        <f t="shared" si="4"/>
        <v>1</v>
      </c>
      <c r="AC45" s="1810">
        <f t="shared" si="5"/>
        <v>1</v>
      </c>
    </row>
    <row r="46" spans="1:29" ht="15">
      <c r="A46" s="479" t="s">
        <v>2714</v>
      </c>
      <c r="B46" s="2704" t="s">
        <v>2750</v>
      </c>
      <c r="C46" s="682" t="s">
        <v>1</v>
      </c>
      <c r="D46" s="481"/>
      <c r="E46" s="482">
        <f>M10</f>
        <v>8224</v>
      </c>
      <c r="F46" s="483"/>
      <c r="G46" s="484">
        <f>M11</f>
        <v>7013</v>
      </c>
      <c r="H46" s="485"/>
      <c r="I46" s="482">
        <f>M12</f>
        <v>6385</v>
      </c>
      <c r="J46" s="485"/>
      <c r="K46" s="783"/>
      <c r="L46" s="1143"/>
      <c r="M46" s="1144"/>
      <c r="N46" s="1131"/>
      <c r="O46" s="1144"/>
      <c r="P46" s="3489" t="str">
        <f>A46</f>
        <v>成交单价</v>
      </c>
      <c r="Q46" s="3489"/>
      <c r="R46" s="3502">
        <f>E46</f>
        <v>8224</v>
      </c>
      <c r="S46" s="3502"/>
      <c r="T46" s="3502">
        <f>G46</f>
        <v>7013</v>
      </c>
      <c r="U46" s="3502"/>
      <c r="V46" s="3502">
        <f>I46</f>
        <v>6385</v>
      </c>
      <c r="W46" s="3502"/>
      <c r="X46" s="759"/>
      <c r="Y46" s="781"/>
      <c r="Z46" s="759"/>
      <c r="AA46" s="759"/>
      <c r="AB46" s="759"/>
      <c r="AC46" s="759"/>
    </row>
    <row r="47" spans="1:29" ht="15" thickBot="1">
      <c r="A47" s="486" t="s">
        <v>2663</v>
      </c>
      <c r="B47" s="683"/>
      <c r="C47" s="490">
        <f>R48</f>
        <v>6205</v>
      </c>
      <c r="D47" s="489"/>
      <c r="E47" s="490">
        <f>R47</f>
        <v>6929</v>
      </c>
      <c r="F47" s="491"/>
      <c r="G47" s="488">
        <f>T47</f>
        <v>5908</v>
      </c>
      <c r="H47" s="489"/>
      <c r="I47" s="490">
        <f>V47</f>
        <v>5777</v>
      </c>
      <c r="J47" s="489"/>
      <c r="K47" s="784"/>
      <c r="L47" s="1143"/>
      <c r="M47" s="1144"/>
      <c r="N47" s="1144"/>
      <c r="O47" s="1144"/>
      <c r="P47" s="3489" t="str">
        <f>A47</f>
        <v>比较价值（元/平方米）</v>
      </c>
      <c r="Q47" s="3489"/>
      <c r="R47" s="3508">
        <f>ROUND(PRODUCT(R46,AA7:AA45),0)</f>
        <v>6929</v>
      </c>
      <c r="S47" s="3508"/>
      <c r="T47" s="3508">
        <f>ROUND(PRODUCT(T46,AB7:AB45),0)</f>
        <v>5908</v>
      </c>
      <c r="U47" s="3508"/>
      <c r="V47" s="3508">
        <f>ROUND(PRODUCT(V46,AC7:AC45),0)</f>
        <v>5777</v>
      </c>
      <c r="W47" s="3508"/>
      <c r="X47" s="759"/>
      <c r="Y47" s="759"/>
      <c r="Z47" s="759"/>
      <c r="AA47" s="759"/>
      <c r="AB47" s="759"/>
      <c r="AC47" s="759"/>
    </row>
    <row r="48" spans="1:29" ht="15" thickBot="1">
      <c r="A48" s="492" t="s">
        <v>2751</v>
      </c>
      <c r="B48" s="493"/>
      <c r="C48" s="494">
        <f>R48</f>
        <v>6205</v>
      </c>
      <c r="D48" s="494"/>
      <c r="E48" s="494"/>
      <c r="F48" s="494"/>
      <c r="G48" s="494"/>
      <c r="H48" s="494"/>
      <c r="I48" s="494"/>
      <c r="J48" s="494"/>
      <c r="K48" s="785"/>
      <c r="L48" s="1143"/>
      <c r="M48" s="1144"/>
      <c r="N48" s="1144"/>
      <c r="O48" s="1144"/>
      <c r="P48" s="3509" t="str">
        <f>A48</f>
        <v>估价对象XX用房的比较价值（楼面单价，元/平方米）</v>
      </c>
      <c r="Q48" s="3510"/>
      <c r="R48" s="3511">
        <f>ROUND(AVERAGE(R47:V47),0)</f>
        <v>6205</v>
      </c>
      <c r="S48" s="3511"/>
      <c r="T48" s="3511"/>
      <c r="U48" s="3511"/>
      <c r="V48" s="3511"/>
      <c r="W48" s="351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0.18689565593880797</v>
      </c>
      <c r="F51" s="500" t="str">
        <f>IF(OR(E51&gt;=0.3,E51&lt;=-0.3),"超过30%","")</f>
        <v/>
      </c>
      <c r="G51" s="499">
        <f>IF(G46&lt;G47,G47/G46-1,G46/G47-1)</f>
        <v>0.18703452945159116</v>
      </c>
      <c r="H51" s="500" t="str">
        <f>IF(OR(G51&gt;=0.3,G51&lt;=-0.3),"超过30%","")</f>
        <v/>
      </c>
      <c r="I51" s="499">
        <f>IF(I46&lt;I47,I47/I46-1,I46/I47-1)</f>
        <v>0.10524493681841784</v>
      </c>
      <c r="J51" s="500" t="str">
        <f>IF(OR(I51&gt;=0.3,I51&lt;=-0.3),"超过30%","")</f>
        <v/>
      </c>
      <c r="K51" s="1105"/>
      <c r="L51" s="1106"/>
      <c r="M51" s="1144"/>
      <c r="N51" s="1144"/>
      <c r="O51" s="1144"/>
    </row>
    <row r="52" spans="1:15" ht="13.5" customHeight="1">
      <c r="A52" s="1144"/>
      <c r="B52" s="1144"/>
      <c r="C52" s="497" t="s">
        <v>2666</v>
      </c>
      <c r="D52" s="501"/>
      <c r="E52" s="499">
        <f>IF(E47&lt;G47,G47/E47-1,E47/G47-1)</f>
        <v>0.17281651997291814</v>
      </c>
      <c r="F52" s="500" t="str">
        <f>IF(OR(E52&gt;=0.2,E52&lt;=-0.2),"超过20%","")</f>
        <v/>
      </c>
      <c r="G52" s="499">
        <f>IF(G47&lt;I47,I47/G47-1,G47/I47-1)</f>
        <v>2.2676129478968354E-2</v>
      </c>
      <c r="H52" s="500" t="str">
        <f>IF(OR(G52&gt;=0.2,G52&lt;=-0.2),"超过20%","")</f>
        <v/>
      </c>
      <c r="I52" s="499">
        <f>IF(I47&lt;E47,E47/I47-1,I47/E47-1)</f>
        <v>0.199411459234897</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0.17267930985312985</v>
      </c>
      <c r="F53" s="500" t="str">
        <f>IF(OR(E53&gt;=0.3,E53&lt;=-0.3),"超过30%","")</f>
        <v/>
      </c>
      <c r="G53" s="499">
        <f>IF(G46&lt;I46,I46/G46-1,G46/I46-1)</f>
        <v>9.8355520751761905E-2</v>
      </c>
      <c r="H53" s="500" t="str">
        <f>IF(OR(G53&gt;=0.3,G53&lt;=-0.3),"超过30%","")</f>
        <v/>
      </c>
      <c r="I53" s="499">
        <f>IF(I46&lt;E46,E46/I46-1,I46/E46-1)</f>
        <v>0.28801879404855124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5" t="s">
        <v>2754</v>
      </c>
      <c r="D55" s="2706" t="s">
        <v>2755</v>
      </c>
      <c r="E55" s="686" t="s">
        <v>2756</v>
      </c>
      <c r="F55" s="1107" t="s">
        <v>2757</v>
      </c>
      <c r="G55" s="3490" t="s">
        <v>2758</v>
      </c>
      <c r="H55" s="3512"/>
      <c r="I55" s="144" t="s">
        <v>2759</v>
      </c>
      <c r="J55" s="2707">
        <f>项目基本情况!F35</f>
        <v>0</v>
      </c>
      <c r="K55" s="2708" t="s">
        <v>2760</v>
      </c>
      <c r="L55" s="1106"/>
      <c r="M55" s="1144"/>
      <c r="N55" s="1144"/>
      <c r="O55" s="1144"/>
    </row>
    <row r="56" spans="1:15" s="692" customFormat="1">
      <c r="A56" s="688" t="s">
        <v>2761</v>
      </c>
      <c r="B56" s="689">
        <f>C48</f>
        <v>6205</v>
      </c>
      <c r="C56" s="690">
        <v>1</v>
      </c>
      <c r="D56" s="1163">
        <v>1</v>
      </c>
      <c r="E56" s="690">
        <f>'数据-汇总表'!E8+'数据-汇总表'!E9</f>
        <v>518594.9009999999</v>
      </c>
      <c r="F56" s="1103">
        <f t="shared" ref="F56:F65" si="15">ROUND(B56*E56/10000,0)</f>
        <v>321788</v>
      </c>
      <c r="G56" s="3513"/>
      <c r="H56" s="3489"/>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514"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514"/>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514"/>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514"/>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709"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465742.42000000004</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709" t="s">
        <v>2763</v>
      </c>
      <c r="H64" s="1104">
        <f>项目基本情况!B37</f>
        <v>0</v>
      </c>
      <c r="I64" s="1108">
        <f>SUMIF(修正!A45:A56,H64,修正!H45:H56)</f>
        <v>0</v>
      </c>
      <c r="J64" s="1112"/>
      <c r="K64" s="1145"/>
      <c r="L64" s="941"/>
      <c r="M64" s="941"/>
      <c r="N64" s="941"/>
      <c r="O64" s="941"/>
    </row>
    <row r="65" spans="1:17" s="692" customFormat="1" ht="15" thickBot="1">
      <c r="A65" s="693" t="s">
        <v>2774</v>
      </c>
      <c r="B65" s="262">
        <f t="shared" si="17"/>
        <v>0</v>
      </c>
      <c r="C65" s="200">
        <f t="shared" si="16"/>
        <v>0</v>
      </c>
      <c r="D65" s="1164">
        <v>0.25</v>
      </c>
      <c r="E65" s="261">
        <f>'数据-汇总表'!E15</f>
        <v>0</v>
      </c>
      <c r="F65" s="1103">
        <f t="shared" si="15"/>
        <v>0</v>
      </c>
      <c r="G65" s="2710" t="s">
        <v>2768</v>
      </c>
      <c r="H65" s="1114">
        <f>项目基本情况!C37</f>
        <v>0</v>
      </c>
      <c r="I65" s="1110">
        <f>SUMIF(修正!A45:A56,H65,修正!H45:H56)</f>
        <v>0</v>
      </c>
      <c r="J65" s="1113"/>
      <c r="K65" s="1144"/>
      <c r="L65" s="941"/>
      <c r="M65" s="941"/>
      <c r="N65" s="941"/>
      <c r="O65" s="941"/>
    </row>
    <row r="66" spans="1:17" s="692" customFormat="1" ht="15" thickBot="1">
      <c r="A66" s="695" t="s">
        <v>2775</v>
      </c>
      <c r="B66" s="696" t="s">
        <v>28</v>
      </c>
      <c r="C66" s="696" t="s">
        <v>29</v>
      </c>
      <c r="D66" s="696" t="s">
        <v>1025</v>
      </c>
      <c r="E66" s="696">
        <f>IF(B46="楼面地价",SUM(E56:E65),'数据-汇总表'!D3)</f>
        <v>984337.321</v>
      </c>
      <c r="F66" s="697">
        <f>IF(B46="楼面地价",SUM(F56:F65),ROUND(C48*E66/10000,0))</f>
        <v>321788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1" t="s">
        <v>2776</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2" t="s">
        <v>2777</v>
      </c>
      <c r="B71" s="332" t="str">
        <f>"北京市平均增长率"&amp;TEXT(SUMIF(基准地价修正!N21:N25,A71,基准地价修正!P21:P25),"0.00%")</f>
        <v>北京市平均增长率2.08%</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 thickBot="1">
      <c r="A74" s="521"/>
      <c r="B74" s="510"/>
      <c r="C74" s="639">
        <v>100</v>
      </c>
      <c r="D74" s="512"/>
      <c r="E74" s="512"/>
      <c r="F74" s="512"/>
      <c r="G74" s="512"/>
      <c r="H74" s="512"/>
      <c r="I74" s="512"/>
      <c r="J74" s="512"/>
      <c r="K74" s="512"/>
      <c r="L74" s="512"/>
      <c r="M74" s="514"/>
      <c r="N74" s="1151"/>
      <c r="O74" s="1151"/>
      <c r="P74" s="504"/>
      <c r="Q74" s="504"/>
    </row>
    <row r="75" spans="1:17" ht="15">
      <c r="A75" s="527" t="s">
        <v>2582</v>
      </c>
      <c r="B75" s="528" t="s">
        <v>2548</v>
      </c>
      <c r="C75" s="530"/>
      <c r="D75" s="530"/>
      <c r="E75" s="530"/>
      <c r="F75" s="530"/>
      <c r="G75" s="530"/>
      <c r="H75" s="530"/>
      <c r="I75" s="530"/>
      <c r="J75" s="530"/>
      <c r="K75" s="531"/>
      <c r="L75" s="532"/>
      <c r="M75" s="533"/>
      <c r="N75" s="1152"/>
      <c r="O75" s="1152"/>
      <c r="P75" s="45"/>
      <c r="Q75" s="504"/>
    </row>
    <row r="76" spans="1:17" ht="15" thickBot="1">
      <c r="A76" s="534"/>
      <c r="B76" s="535"/>
      <c r="C76" s="536"/>
      <c r="D76" s="536"/>
      <c r="E76" s="536"/>
      <c r="F76" s="536"/>
      <c r="G76" s="536"/>
      <c r="H76" s="536"/>
      <c r="I76" s="536"/>
      <c r="J76" s="536"/>
      <c r="K76" s="536"/>
      <c r="L76" s="536"/>
      <c r="M76" s="537"/>
      <c r="N76" s="1153"/>
      <c r="O76" s="1153"/>
      <c r="P76" s="45"/>
      <c r="Q76" s="504"/>
    </row>
    <row r="77" spans="1:17" ht="31" thickTop="1">
      <c r="A77" s="534"/>
      <c r="B77" s="538" t="s">
        <v>2551</v>
      </c>
      <c r="C77" s="539"/>
      <c r="D77" s="539"/>
      <c r="E77" s="539"/>
      <c r="F77" s="539"/>
      <c r="G77" s="539"/>
      <c r="H77" s="539"/>
      <c r="I77" s="539"/>
      <c r="J77" s="539"/>
      <c r="K77" s="540"/>
      <c r="L77" s="541"/>
      <c r="M77" s="542"/>
      <c r="N77" s="1152"/>
      <c r="O77" s="1152"/>
      <c r="P77" s="45"/>
      <c r="Q77" s="504"/>
    </row>
    <row r="78" spans="1:17" ht="15" thickBot="1">
      <c r="A78" s="534"/>
      <c r="B78" s="543"/>
      <c r="C78" s="544"/>
      <c r="D78" s="544"/>
      <c r="E78" s="544"/>
      <c r="F78" s="544"/>
      <c r="G78" s="544"/>
      <c r="H78" s="544"/>
      <c r="I78" s="544"/>
      <c r="J78" s="544"/>
      <c r="K78" s="544"/>
      <c r="L78" s="544"/>
      <c r="M78" s="545"/>
      <c r="N78" s="1153"/>
      <c r="O78" s="1153"/>
      <c r="P78" s="45"/>
      <c r="Q78" s="504"/>
    </row>
    <row r="79" spans="1:17" ht="16" thickTop="1">
      <c r="A79" s="534"/>
      <c r="B79" s="546" t="s">
        <v>2552</v>
      </c>
      <c r="C79" s="547" t="str">
        <f>C80&amp;"（含）"&amp;"-"&amp;D80</f>
        <v>0（含）-</v>
      </c>
      <c r="D79" s="547" t="str">
        <f t="shared" ref="D79:L79" si="21">D80&amp;"（含）"&amp;"-"&amp;E80</f>
        <v>（含）-</v>
      </c>
      <c r="E79" s="547" t="str">
        <f t="shared" si="21"/>
        <v>（含）-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c r="E80" s="549"/>
      <c r="F80" s="549"/>
      <c r="G80" s="549"/>
      <c r="H80" s="549"/>
      <c r="I80" s="549"/>
      <c r="J80" s="549"/>
      <c r="K80" s="550"/>
      <c r="L80" s="551"/>
      <c r="M80" s="552"/>
      <c r="N80" s="1152"/>
      <c r="O80" s="1152"/>
      <c r="P80" s="45"/>
      <c r="Q80" s="504"/>
    </row>
    <row r="81" spans="1:17" ht="1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6"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 thickBot="1">
      <c r="A83" s="553"/>
      <c r="B83" s="543"/>
      <c r="C83" s="560"/>
      <c r="D83" s="536"/>
      <c r="E83" s="536"/>
      <c r="F83" s="536"/>
      <c r="G83" s="536"/>
      <c r="H83" s="536"/>
      <c r="I83" s="536"/>
      <c r="J83" s="536"/>
      <c r="K83" s="536"/>
      <c r="L83" s="536"/>
      <c r="M83" s="537"/>
      <c r="N83" s="1153"/>
      <c r="O83" s="1153"/>
      <c r="P83" s="558"/>
      <c r="Q83" s="559"/>
    </row>
    <row r="84" spans="1:17" s="471" customFormat="1" ht="16" thickTop="1">
      <c r="A84" s="553"/>
      <c r="B84" s="538" t="str">
        <f>B13</f>
        <v>限价</v>
      </c>
      <c r="C84" s="554" t="s">
        <v>3434</v>
      </c>
      <c r="D84" s="554" t="s">
        <v>3435</v>
      </c>
      <c r="E84" s="554"/>
      <c r="F84" s="554"/>
      <c r="G84" s="554"/>
      <c r="H84" s="555"/>
      <c r="I84" s="555"/>
      <c r="J84" s="555"/>
      <c r="K84" s="555"/>
      <c r="L84" s="556"/>
      <c r="M84" s="557"/>
      <c r="N84" s="1154"/>
      <c r="O84" s="1154"/>
      <c r="P84" s="470"/>
      <c r="Q84" s="561"/>
    </row>
    <row r="85" spans="1:17" s="471" customFormat="1" ht="15" thickBot="1">
      <c r="A85" s="553"/>
      <c r="B85" s="543"/>
      <c r="C85" s="560">
        <v>100</v>
      </c>
      <c r="D85" s="560"/>
      <c r="E85" s="560"/>
      <c r="F85" s="560"/>
      <c r="G85" s="560"/>
      <c r="H85" s="562"/>
      <c r="I85" s="562"/>
      <c r="J85" s="562"/>
      <c r="K85" s="562"/>
      <c r="L85" s="562"/>
      <c r="M85" s="563"/>
      <c r="N85" s="1154"/>
      <c r="O85" s="1154"/>
      <c r="P85" s="558"/>
      <c r="Q85" s="559"/>
    </row>
    <row r="86" spans="1:17" s="471" customFormat="1" ht="15" thickTop="1">
      <c r="A86" s="553"/>
      <c r="B86" s="546">
        <f>B14</f>
        <v>0</v>
      </c>
      <c r="C86" s="523"/>
      <c r="D86" s="523"/>
      <c r="E86" s="523"/>
      <c r="F86" s="523"/>
      <c r="G86" s="523"/>
      <c r="H86" s="564"/>
      <c r="I86" s="564"/>
      <c r="J86" s="564"/>
      <c r="K86" s="564"/>
      <c r="L86" s="565"/>
      <c r="M86" s="566"/>
      <c r="N86" s="1154"/>
      <c r="O86" s="1154"/>
      <c r="P86" s="567"/>
      <c r="Q86" s="559"/>
    </row>
    <row r="87" spans="1:17" s="471" customFormat="1" ht="15" thickBot="1">
      <c r="A87" s="568"/>
      <c r="B87" s="569"/>
      <c r="C87" s="570"/>
      <c r="D87" s="570"/>
      <c r="E87" s="570"/>
      <c r="F87" s="570"/>
      <c r="G87" s="570"/>
      <c r="H87" s="571"/>
      <c r="I87" s="571"/>
      <c r="J87" s="571"/>
      <c r="K87" s="571"/>
      <c r="L87" s="571"/>
      <c r="M87" s="572"/>
      <c r="N87" s="1154"/>
      <c r="O87" s="1154"/>
      <c r="P87" s="558"/>
      <c r="Q87" s="559"/>
    </row>
    <row r="88" spans="1:17" ht="15">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 thickBot="1">
      <c r="A89" s="534"/>
      <c r="B89" s="543"/>
      <c r="C89" s="544">
        <v>100</v>
      </c>
      <c r="D89" s="544">
        <f>C89-$K15</f>
        <v>96</v>
      </c>
      <c r="E89" s="544">
        <f>D89-$K15</f>
        <v>92</v>
      </c>
      <c r="F89" s="544">
        <f>E89-$K15</f>
        <v>88</v>
      </c>
      <c r="G89" s="544">
        <f>F89-$K15</f>
        <v>84</v>
      </c>
      <c r="H89" s="544"/>
      <c r="I89" s="544"/>
      <c r="J89" s="544"/>
      <c r="K89" s="544"/>
      <c r="L89" s="544"/>
      <c r="M89" s="545"/>
      <c r="N89" s="1153"/>
      <c r="O89" s="1153"/>
      <c r="P89" s="45"/>
      <c r="Q89" s="504"/>
    </row>
    <row r="90" spans="1:17" ht="16"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6"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6"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6"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31"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6"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6"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6"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31" thickTop="1">
      <c r="A106" s="534"/>
      <c r="B106" s="538" t="s">
        <v>2685</v>
      </c>
      <c r="C106" s="554"/>
      <c r="D106" s="554"/>
      <c r="E106" s="554"/>
      <c r="F106" s="554"/>
      <c r="G106" s="554"/>
      <c r="H106" s="583"/>
      <c r="I106" s="583"/>
      <c r="J106" s="583"/>
      <c r="K106" s="584"/>
      <c r="L106" s="585"/>
      <c r="M106" s="586"/>
      <c r="N106" s="1152"/>
      <c r="O106" s="1152"/>
      <c r="P106" s="45"/>
      <c r="Q106" s="504"/>
    </row>
    <row r="107" spans="1:17" ht="1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6" thickTop="1">
      <c r="A108" s="534"/>
      <c r="B108" s="538" t="s">
        <v>2744</v>
      </c>
      <c r="C108" s="583"/>
      <c r="D108" s="583"/>
      <c r="E108" s="583"/>
      <c r="F108" s="583"/>
      <c r="G108" s="583"/>
      <c r="H108" s="583"/>
      <c r="I108" s="583"/>
      <c r="J108" s="583"/>
      <c r="K108" s="584"/>
      <c r="L108" s="585"/>
      <c r="M108" s="586"/>
      <c r="N108" s="1152"/>
      <c r="O108" s="1152"/>
      <c r="P108" s="45"/>
      <c r="Q108" s="504"/>
    </row>
    <row r="109" spans="1:17" ht="1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 thickTop="1">
      <c r="A110" s="534"/>
      <c r="B110" s="546">
        <f>B35</f>
        <v>0</v>
      </c>
      <c r="C110" s="554"/>
      <c r="D110" s="554"/>
      <c r="E110" s="554"/>
      <c r="F110" s="554"/>
      <c r="G110" s="587"/>
      <c r="H110" s="587"/>
      <c r="I110" s="587"/>
      <c r="J110" s="587"/>
      <c r="K110" s="588"/>
      <c r="L110" s="589"/>
      <c r="M110" s="590"/>
      <c r="N110" s="1152"/>
      <c r="O110" s="1152"/>
      <c r="P110" s="45"/>
      <c r="Q110" s="504"/>
    </row>
    <row r="111" spans="1:17" ht="1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 thickBot="1">
      <c r="A115" s="553"/>
      <c r="B115" s="546"/>
      <c r="C115" s="512"/>
      <c r="D115" s="677"/>
      <c r="E115" s="677"/>
      <c r="F115" s="677"/>
      <c r="G115" s="677"/>
      <c r="H115" s="677"/>
      <c r="I115" s="677"/>
      <c r="J115" s="677"/>
      <c r="K115" s="677"/>
      <c r="L115" s="677"/>
      <c r="M115" s="699"/>
      <c r="N115" s="1153"/>
      <c r="O115" s="1153"/>
      <c r="P115" s="558"/>
      <c r="Q115" s="559"/>
    </row>
    <row r="116" spans="1:17" ht="15">
      <c r="A116" s="527" t="s">
        <v>2557</v>
      </c>
      <c r="B116" s="528" t="s">
        <v>2785</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c r="E117" s="595"/>
      <c r="F117" s="595"/>
      <c r="G117" s="595"/>
      <c r="H117" s="595"/>
      <c r="I117" s="595"/>
      <c r="J117" s="596"/>
      <c r="K117" s="596"/>
      <c r="L117" s="597"/>
      <c r="M117" s="598"/>
      <c r="N117" s="1152"/>
      <c r="O117" s="1152"/>
      <c r="P117" s="45"/>
      <c r="Q117" s="504"/>
    </row>
    <row r="118" spans="1:17" ht="15" thickBot="1">
      <c r="A118" s="534"/>
      <c r="B118" s="543"/>
      <c r="C118" s="570"/>
      <c r="D118" s="591"/>
      <c r="E118" s="591"/>
      <c r="F118" s="591"/>
      <c r="G118" s="591"/>
      <c r="H118" s="591"/>
      <c r="I118" s="591"/>
      <c r="J118" s="591"/>
      <c r="K118" s="591"/>
      <c r="L118" s="591"/>
      <c r="M118" s="592"/>
      <c r="N118" s="1153"/>
      <c r="O118" s="1153"/>
      <c r="P118" s="45"/>
      <c r="Q118" s="504"/>
    </row>
    <row r="119" spans="1:17" ht="16" thickTop="1">
      <c r="A119" s="599"/>
      <c r="B119" s="538" t="s">
        <v>2786</v>
      </c>
      <c r="C119" s="583" t="s">
        <v>3429</v>
      </c>
      <c r="D119" s="583" t="s">
        <v>3431</v>
      </c>
      <c r="E119" s="583"/>
      <c r="F119" s="583"/>
      <c r="G119" s="583"/>
      <c r="H119" s="583"/>
      <c r="I119" s="583"/>
      <c r="J119" s="583"/>
      <c r="K119" s="584"/>
      <c r="L119" s="585"/>
      <c r="M119" s="586"/>
      <c r="N119" s="1152"/>
      <c r="O119" s="1152"/>
      <c r="P119" s="45"/>
      <c r="Q119" s="504"/>
    </row>
    <row r="120" spans="1:17" ht="15" thickBot="1">
      <c r="A120" s="534"/>
      <c r="B120" s="543"/>
      <c r="C120" s="544">
        <v>100</v>
      </c>
      <c r="D120" s="544">
        <f t="shared" ref="D120:M120" si="27">C120-$K39</f>
        <v>95</v>
      </c>
      <c r="E120" s="544">
        <f t="shared" si="27"/>
        <v>90</v>
      </c>
      <c r="F120" s="544">
        <f t="shared" si="27"/>
        <v>85</v>
      </c>
      <c r="G120" s="544">
        <f t="shared" si="27"/>
        <v>80</v>
      </c>
      <c r="H120" s="544">
        <f t="shared" si="27"/>
        <v>75</v>
      </c>
      <c r="I120" s="544">
        <f t="shared" si="27"/>
        <v>70</v>
      </c>
      <c r="J120" s="544">
        <f t="shared" si="27"/>
        <v>65</v>
      </c>
      <c r="K120" s="544">
        <f t="shared" si="27"/>
        <v>60</v>
      </c>
      <c r="L120" s="544">
        <f t="shared" si="27"/>
        <v>55</v>
      </c>
      <c r="M120" s="545">
        <f t="shared" si="27"/>
        <v>50</v>
      </c>
      <c r="N120" s="1153"/>
      <c r="O120" s="1153"/>
      <c r="P120" s="45"/>
      <c r="Q120" s="504"/>
    </row>
    <row r="121" spans="1:17" ht="16" thickTop="1">
      <c r="A121" s="599"/>
      <c r="B121" s="538" t="s">
        <v>2787</v>
      </c>
      <c r="C121" s="554"/>
      <c r="D121" s="554"/>
      <c r="E121" s="554"/>
      <c r="F121" s="583"/>
      <c r="G121" s="583"/>
      <c r="H121" s="583"/>
      <c r="I121" s="583"/>
      <c r="J121" s="583"/>
      <c r="K121" s="584"/>
      <c r="L121" s="585"/>
      <c r="M121" s="586"/>
      <c r="N121" s="1152"/>
      <c r="O121" s="1152"/>
      <c r="P121" s="45"/>
      <c r="Q121" s="504"/>
    </row>
    <row r="122" spans="1:17" ht="1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6"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6" thickTop="1">
      <c r="A125" s="599"/>
      <c r="B125" s="538" t="s">
        <v>2789</v>
      </c>
      <c r="C125" s="554"/>
      <c r="D125" s="554"/>
      <c r="E125" s="583"/>
      <c r="F125" s="583"/>
      <c r="G125" s="583"/>
      <c r="H125" s="583"/>
      <c r="I125" s="583"/>
      <c r="J125" s="583"/>
      <c r="K125" s="584"/>
      <c r="L125" s="585"/>
      <c r="M125" s="586"/>
      <c r="N125" s="1152"/>
      <c r="O125" s="1152"/>
      <c r="P125" s="45"/>
      <c r="Q125" s="504"/>
    </row>
    <row r="126" spans="1:17" ht="1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xr:uid="{00000000-0002-0000-1B00-000000000000}">
      <formula1>住宅朝向</formula1>
    </dataValidation>
    <dataValidation type="list" allowBlank="1" showInputMessage="1" showErrorMessage="1" sqref="E28 C28 G28 I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C26 E26 G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G62" xr:uid="{00000000-0002-0000-1B00-000013000000}">
      <formula1>"商业,办公,住宅,工业"</formula1>
    </dataValidation>
    <dataValidation type="list" allowBlank="1" showInputMessage="1" showErrorMessage="1" sqref="G63" xr:uid="{00000000-0002-0000-1B00-000014000000}">
      <formula1>"住宅,工业"</formula1>
    </dataValidation>
    <dataValidation type="list" allowBlank="1" showInputMessage="1" showErrorMessage="1" sqref="D57:D65" xr:uid="{00000000-0002-0000-1B00-000015000000}">
      <formula1>"25%,1"</formula1>
    </dataValidation>
    <dataValidation type="list" allowBlank="1" showInputMessage="1" showErrorMessage="1" sqref="C30 E30 G30 I30" xr:uid="{00000000-0002-0000-1B00-000016000000}">
      <formula1>基础设施水平</formula1>
    </dataValidation>
    <dataValidation type="list" allowBlank="1" showInputMessage="1" showErrorMessage="1" sqref="A71" xr:uid="{00000000-0002-0000-1B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48"/>
  <sheetViews>
    <sheetView topLeftCell="L1" zoomScaleNormal="100" workbookViewId="0">
      <selection activeCell="Q25" sqref="Q25"/>
    </sheetView>
  </sheetViews>
  <sheetFormatPr baseColWidth="10" defaultColWidth="11" defaultRowHeight="14"/>
  <cols>
    <col min="1" max="1" width="79.1640625" style="1634" hidden="1" customWidth="1"/>
    <col min="2" max="2" width="7.1640625" style="1634" hidden="1" customWidth="1"/>
    <col min="3" max="3" width="15.83203125" style="1634" hidden="1" customWidth="1"/>
    <col min="4" max="4" width="5.1640625" style="1634" hidden="1" customWidth="1"/>
    <col min="5" max="5" width="61.6640625" style="1634" customWidth="1"/>
    <col min="6" max="6" width="9" style="1634" customWidth="1"/>
    <col min="7" max="7" width="11.33203125" style="1634" customWidth="1"/>
    <col min="8" max="8" width="26.6640625" style="1634" customWidth="1"/>
    <col min="9" max="10" width="15.83203125" style="1634" customWidth="1"/>
    <col min="11" max="11" width="31.1640625" style="1634" customWidth="1"/>
    <col min="12" max="12" width="15.33203125" style="1634" customWidth="1"/>
    <col min="13" max="13" width="31" style="1634" hidden="1" customWidth="1"/>
    <col min="14" max="14" width="37.6640625" style="1634" customWidth="1"/>
    <col min="15" max="15" width="12.1640625" style="1634" customWidth="1"/>
    <col min="16" max="16" width="18.1640625" style="1634" customWidth="1"/>
    <col min="17" max="17" width="16.33203125" style="1634" customWidth="1"/>
    <col min="18" max="18" width="7.1640625" style="1634" customWidth="1"/>
    <col min="19" max="19" width="18.5" style="1634" customWidth="1"/>
    <col min="20" max="20" width="9" style="1634" customWidth="1"/>
    <col min="21" max="256" width="8.83203125" style="1634" customWidth="1"/>
    <col min="257" max="257" width="79.1640625" style="1634" customWidth="1"/>
    <col min="258" max="258" width="7.1640625" style="1634" customWidth="1"/>
    <col min="259" max="259" width="15.83203125" style="1634" customWidth="1"/>
    <col min="260" max="260" width="5.1640625" style="1634" customWidth="1"/>
    <col min="261" max="261" width="61.6640625" style="1634" customWidth="1"/>
    <col min="262" max="262" width="9" style="1634" customWidth="1"/>
    <col min="263" max="263" width="11.33203125" style="1634" customWidth="1"/>
    <col min="264" max="264" width="59.33203125" style="1634" customWidth="1"/>
    <col min="265" max="266" width="15.83203125" style="1634" customWidth="1"/>
    <col min="267" max="267" width="29" style="1634" customWidth="1"/>
    <col min="268" max="268" width="10.1640625" style="1634" customWidth="1"/>
    <col min="269" max="269" width="85.1640625" style="1634" customWidth="1"/>
    <col min="270" max="270" width="79.83203125" style="1634" customWidth="1"/>
    <col min="271" max="271" width="12.1640625" style="1634" customWidth="1"/>
    <col min="272" max="272" width="18.1640625" style="1634" customWidth="1"/>
    <col min="273" max="273" width="16.33203125" style="1634" customWidth="1"/>
    <col min="274" max="274" width="7.1640625" style="1634" customWidth="1"/>
    <col min="275" max="275" width="18.5" style="1634" customWidth="1"/>
    <col min="276" max="276" width="9" style="1634" customWidth="1"/>
    <col min="277" max="512" width="8.83203125" style="1634" customWidth="1"/>
    <col min="513" max="513" width="79.1640625" style="1634" customWidth="1"/>
    <col min="514" max="514" width="7.1640625" style="1634" customWidth="1"/>
    <col min="515" max="515" width="15.83203125" style="1634" customWidth="1"/>
    <col min="516" max="516" width="5.1640625" style="1634" customWidth="1"/>
    <col min="517" max="517" width="61.6640625" style="1634" customWidth="1"/>
    <col min="518" max="518" width="9" style="1634" customWidth="1"/>
    <col min="519" max="519" width="11.33203125" style="1634" customWidth="1"/>
    <col min="520" max="520" width="59.33203125" style="1634" customWidth="1"/>
    <col min="521" max="522" width="15.83203125" style="1634" customWidth="1"/>
    <col min="523" max="523" width="29" style="1634" customWidth="1"/>
    <col min="524" max="524" width="10.1640625" style="1634" customWidth="1"/>
    <col min="525" max="525" width="85.1640625" style="1634" customWidth="1"/>
    <col min="526" max="526" width="79.83203125" style="1634" customWidth="1"/>
    <col min="527" max="527" width="12.1640625" style="1634" customWidth="1"/>
    <col min="528" max="528" width="18.1640625" style="1634" customWidth="1"/>
    <col min="529" max="529" width="16.33203125" style="1634" customWidth="1"/>
    <col min="530" max="530" width="7.1640625" style="1634" customWidth="1"/>
    <col min="531" max="531" width="18.5" style="1634" customWidth="1"/>
    <col min="532" max="532" width="9" style="1634" customWidth="1"/>
    <col min="533" max="768" width="8.83203125" style="1634" customWidth="1"/>
    <col min="769" max="769" width="79.1640625" style="1634" customWidth="1"/>
    <col min="770" max="770" width="7.1640625" style="1634" customWidth="1"/>
    <col min="771" max="771" width="15.83203125" style="1634" customWidth="1"/>
    <col min="772" max="772" width="5.1640625" style="1634" customWidth="1"/>
    <col min="773" max="773" width="61.6640625" style="1634" customWidth="1"/>
    <col min="774" max="774" width="9" style="1634" customWidth="1"/>
    <col min="775" max="775" width="11.33203125" style="1634" customWidth="1"/>
    <col min="776" max="776" width="59.33203125" style="1634" customWidth="1"/>
    <col min="777" max="778" width="15.83203125" style="1634" customWidth="1"/>
    <col min="779" max="779" width="29" style="1634" customWidth="1"/>
    <col min="780" max="780" width="10.1640625" style="1634" customWidth="1"/>
    <col min="781" max="781" width="85.1640625" style="1634" customWidth="1"/>
    <col min="782" max="782" width="79.83203125" style="1634" customWidth="1"/>
    <col min="783" max="783" width="12.1640625" style="1634" customWidth="1"/>
    <col min="784" max="784" width="18.1640625" style="1634" customWidth="1"/>
    <col min="785" max="785" width="16.33203125" style="1634" customWidth="1"/>
    <col min="786" max="786" width="7.1640625" style="1634" customWidth="1"/>
    <col min="787" max="787" width="18.5" style="1634" customWidth="1"/>
    <col min="788" max="788" width="9" style="1634" customWidth="1"/>
    <col min="789" max="1024" width="8.83203125" style="1634" customWidth="1"/>
    <col min="1025" max="1025" width="79.1640625" style="1634" customWidth="1"/>
    <col min="1026" max="1026" width="7.1640625" style="1634" customWidth="1"/>
    <col min="1027" max="1027" width="15.83203125" style="1634" customWidth="1"/>
    <col min="1028" max="1028" width="5.1640625" style="1634" customWidth="1"/>
    <col min="1029" max="1029" width="61.6640625" style="1634" customWidth="1"/>
    <col min="1030" max="1030" width="9" style="1634" customWidth="1"/>
    <col min="1031" max="1031" width="11.33203125" style="1634" customWidth="1"/>
    <col min="1032" max="1032" width="59.33203125" style="1634" customWidth="1"/>
    <col min="1033" max="1034" width="15.83203125" style="1634" customWidth="1"/>
    <col min="1035" max="1035" width="29" style="1634" customWidth="1"/>
    <col min="1036" max="1036" width="10.1640625" style="1634" customWidth="1"/>
    <col min="1037" max="1037" width="85.1640625" style="1634" customWidth="1"/>
    <col min="1038" max="1038" width="79.83203125" style="1634" customWidth="1"/>
    <col min="1039" max="1039" width="12.1640625" style="1634" customWidth="1"/>
    <col min="1040" max="1040" width="18.1640625" style="1634" customWidth="1"/>
    <col min="1041" max="1041" width="16.33203125" style="1634" customWidth="1"/>
    <col min="1042" max="1042" width="7.1640625" style="1634" customWidth="1"/>
    <col min="1043" max="1043" width="18.5" style="1634" customWidth="1"/>
    <col min="1044" max="1044" width="9" style="1634" customWidth="1"/>
    <col min="1045" max="1280" width="8.83203125" style="1634" customWidth="1"/>
    <col min="1281" max="1281" width="79.1640625" style="1634" customWidth="1"/>
    <col min="1282" max="1282" width="7.1640625" style="1634" customWidth="1"/>
    <col min="1283" max="1283" width="15.83203125" style="1634" customWidth="1"/>
    <col min="1284" max="1284" width="5.1640625" style="1634" customWidth="1"/>
    <col min="1285" max="1285" width="61.6640625" style="1634" customWidth="1"/>
    <col min="1286" max="1286" width="9" style="1634" customWidth="1"/>
    <col min="1287" max="1287" width="11.33203125" style="1634" customWidth="1"/>
    <col min="1288" max="1288" width="59.33203125" style="1634" customWidth="1"/>
    <col min="1289" max="1290" width="15.83203125" style="1634" customWidth="1"/>
    <col min="1291" max="1291" width="29" style="1634" customWidth="1"/>
    <col min="1292" max="1292" width="10.1640625" style="1634" customWidth="1"/>
    <col min="1293" max="1293" width="85.1640625" style="1634" customWidth="1"/>
    <col min="1294" max="1294" width="79.83203125" style="1634" customWidth="1"/>
    <col min="1295" max="1295" width="12.1640625" style="1634" customWidth="1"/>
    <col min="1296" max="1296" width="18.1640625" style="1634" customWidth="1"/>
    <col min="1297" max="1297" width="16.33203125" style="1634" customWidth="1"/>
    <col min="1298" max="1298" width="7.1640625" style="1634" customWidth="1"/>
    <col min="1299" max="1299" width="18.5" style="1634" customWidth="1"/>
    <col min="1300" max="1300" width="9" style="1634" customWidth="1"/>
    <col min="1301" max="1536" width="8.83203125" style="1634" customWidth="1"/>
    <col min="1537" max="1537" width="79.1640625" style="1634" customWidth="1"/>
    <col min="1538" max="1538" width="7.1640625" style="1634" customWidth="1"/>
    <col min="1539" max="1539" width="15.83203125" style="1634" customWidth="1"/>
    <col min="1540" max="1540" width="5.1640625" style="1634" customWidth="1"/>
    <col min="1541" max="1541" width="61.6640625" style="1634" customWidth="1"/>
    <col min="1542" max="1542" width="9" style="1634" customWidth="1"/>
    <col min="1543" max="1543" width="11.33203125" style="1634" customWidth="1"/>
    <col min="1544" max="1544" width="59.33203125" style="1634" customWidth="1"/>
    <col min="1545" max="1546" width="15.83203125" style="1634" customWidth="1"/>
    <col min="1547" max="1547" width="29" style="1634" customWidth="1"/>
    <col min="1548" max="1548" width="10.1640625" style="1634" customWidth="1"/>
    <col min="1549" max="1549" width="85.1640625" style="1634" customWidth="1"/>
    <col min="1550" max="1550" width="79.83203125" style="1634" customWidth="1"/>
    <col min="1551" max="1551" width="12.1640625" style="1634" customWidth="1"/>
    <col min="1552" max="1552" width="18.1640625" style="1634" customWidth="1"/>
    <col min="1553" max="1553" width="16.33203125" style="1634" customWidth="1"/>
    <col min="1554" max="1554" width="7.1640625" style="1634" customWidth="1"/>
    <col min="1555" max="1555" width="18.5" style="1634" customWidth="1"/>
    <col min="1556" max="1556" width="9" style="1634" customWidth="1"/>
    <col min="1557" max="1792" width="8.83203125" style="1634" customWidth="1"/>
    <col min="1793" max="1793" width="79.1640625" style="1634" customWidth="1"/>
    <col min="1794" max="1794" width="7.1640625" style="1634" customWidth="1"/>
    <col min="1795" max="1795" width="15.83203125" style="1634" customWidth="1"/>
    <col min="1796" max="1796" width="5.1640625" style="1634" customWidth="1"/>
    <col min="1797" max="1797" width="61.6640625" style="1634" customWidth="1"/>
    <col min="1798" max="1798" width="9" style="1634" customWidth="1"/>
    <col min="1799" max="1799" width="11.33203125" style="1634" customWidth="1"/>
    <col min="1800" max="1800" width="59.33203125" style="1634" customWidth="1"/>
    <col min="1801" max="1802" width="15.83203125" style="1634" customWidth="1"/>
    <col min="1803" max="1803" width="29" style="1634" customWidth="1"/>
    <col min="1804" max="1804" width="10.1640625" style="1634" customWidth="1"/>
    <col min="1805" max="1805" width="85.1640625" style="1634" customWidth="1"/>
    <col min="1806" max="1806" width="79.83203125" style="1634" customWidth="1"/>
    <col min="1807" max="1807" width="12.1640625" style="1634" customWidth="1"/>
    <col min="1808" max="1808" width="18.1640625" style="1634" customWidth="1"/>
    <col min="1809" max="1809" width="16.33203125" style="1634" customWidth="1"/>
    <col min="1810" max="1810" width="7.1640625" style="1634" customWidth="1"/>
    <col min="1811" max="1811" width="18.5" style="1634" customWidth="1"/>
    <col min="1812" max="1812" width="9" style="1634" customWidth="1"/>
    <col min="1813" max="2048" width="8.83203125" style="1634" customWidth="1"/>
    <col min="2049" max="2049" width="79.1640625" style="1634" customWidth="1"/>
    <col min="2050" max="2050" width="7.1640625" style="1634" customWidth="1"/>
    <col min="2051" max="2051" width="15.83203125" style="1634" customWidth="1"/>
    <col min="2052" max="2052" width="5.1640625" style="1634" customWidth="1"/>
    <col min="2053" max="2053" width="61.6640625" style="1634" customWidth="1"/>
    <col min="2054" max="2054" width="9" style="1634" customWidth="1"/>
    <col min="2055" max="2055" width="11.33203125" style="1634" customWidth="1"/>
    <col min="2056" max="2056" width="59.33203125" style="1634" customWidth="1"/>
    <col min="2057" max="2058" width="15.83203125" style="1634" customWidth="1"/>
    <col min="2059" max="2059" width="29" style="1634" customWidth="1"/>
    <col min="2060" max="2060" width="10.1640625" style="1634" customWidth="1"/>
    <col min="2061" max="2061" width="85.1640625" style="1634" customWidth="1"/>
    <col min="2062" max="2062" width="79.83203125" style="1634" customWidth="1"/>
    <col min="2063" max="2063" width="12.1640625" style="1634" customWidth="1"/>
    <col min="2064" max="2064" width="18.1640625" style="1634" customWidth="1"/>
    <col min="2065" max="2065" width="16.33203125" style="1634" customWidth="1"/>
    <col min="2066" max="2066" width="7.1640625" style="1634" customWidth="1"/>
    <col min="2067" max="2067" width="18.5" style="1634" customWidth="1"/>
    <col min="2068" max="2068" width="9" style="1634" customWidth="1"/>
    <col min="2069" max="2304" width="8.83203125" style="1634" customWidth="1"/>
    <col min="2305" max="2305" width="79.1640625" style="1634" customWidth="1"/>
    <col min="2306" max="2306" width="7.1640625" style="1634" customWidth="1"/>
    <col min="2307" max="2307" width="15.83203125" style="1634" customWidth="1"/>
    <col min="2308" max="2308" width="5.1640625" style="1634" customWidth="1"/>
    <col min="2309" max="2309" width="61.6640625" style="1634" customWidth="1"/>
    <col min="2310" max="2310" width="9" style="1634" customWidth="1"/>
    <col min="2311" max="2311" width="11.33203125" style="1634" customWidth="1"/>
    <col min="2312" max="2312" width="59.33203125" style="1634" customWidth="1"/>
    <col min="2313" max="2314" width="15.83203125" style="1634" customWidth="1"/>
    <col min="2315" max="2315" width="29" style="1634" customWidth="1"/>
    <col min="2316" max="2316" width="10.1640625" style="1634" customWidth="1"/>
    <col min="2317" max="2317" width="85.1640625" style="1634" customWidth="1"/>
    <col min="2318" max="2318" width="79.83203125" style="1634" customWidth="1"/>
    <col min="2319" max="2319" width="12.1640625" style="1634" customWidth="1"/>
    <col min="2320" max="2320" width="18.1640625" style="1634" customWidth="1"/>
    <col min="2321" max="2321" width="16.33203125" style="1634" customWidth="1"/>
    <col min="2322" max="2322" width="7.1640625" style="1634" customWidth="1"/>
    <col min="2323" max="2323" width="18.5" style="1634" customWidth="1"/>
    <col min="2324" max="2324" width="9" style="1634" customWidth="1"/>
    <col min="2325" max="2560" width="8.83203125" style="1634" customWidth="1"/>
    <col min="2561" max="2561" width="79.1640625" style="1634" customWidth="1"/>
    <col min="2562" max="2562" width="7.1640625" style="1634" customWidth="1"/>
    <col min="2563" max="2563" width="15.83203125" style="1634" customWidth="1"/>
    <col min="2564" max="2564" width="5.1640625" style="1634" customWidth="1"/>
    <col min="2565" max="2565" width="61.6640625" style="1634" customWidth="1"/>
    <col min="2566" max="2566" width="9" style="1634" customWidth="1"/>
    <col min="2567" max="2567" width="11.33203125" style="1634" customWidth="1"/>
    <col min="2568" max="2568" width="59.33203125" style="1634" customWidth="1"/>
    <col min="2569" max="2570" width="15.83203125" style="1634" customWidth="1"/>
    <col min="2571" max="2571" width="29" style="1634" customWidth="1"/>
    <col min="2572" max="2572" width="10.1640625" style="1634" customWidth="1"/>
    <col min="2573" max="2573" width="85.1640625" style="1634" customWidth="1"/>
    <col min="2574" max="2574" width="79.83203125" style="1634" customWidth="1"/>
    <col min="2575" max="2575" width="12.1640625" style="1634" customWidth="1"/>
    <col min="2576" max="2576" width="18.1640625" style="1634" customWidth="1"/>
    <col min="2577" max="2577" width="16.33203125" style="1634" customWidth="1"/>
    <col min="2578" max="2578" width="7.1640625" style="1634" customWidth="1"/>
    <col min="2579" max="2579" width="18.5" style="1634" customWidth="1"/>
    <col min="2580" max="2580" width="9" style="1634" customWidth="1"/>
    <col min="2581" max="2816" width="8.83203125" style="1634" customWidth="1"/>
    <col min="2817" max="2817" width="79.1640625" style="1634" customWidth="1"/>
    <col min="2818" max="2818" width="7.1640625" style="1634" customWidth="1"/>
    <col min="2819" max="2819" width="15.83203125" style="1634" customWidth="1"/>
    <col min="2820" max="2820" width="5.1640625" style="1634" customWidth="1"/>
    <col min="2821" max="2821" width="61.6640625" style="1634" customWidth="1"/>
    <col min="2822" max="2822" width="9" style="1634" customWidth="1"/>
    <col min="2823" max="2823" width="11.33203125" style="1634" customWidth="1"/>
    <col min="2824" max="2824" width="59.33203125" style="1634" customWidth="1"/>
    <col min="2825" max="2826" width="15.83203125" style="1634" customWidth="1"/>
    <col min="2827" max="2827" width="29" style="1634" customWidth="1"/>
    <col min="2828" max="2828" width="10.1640625" style="1634" customWidth="1"/>
    <col min="2829" max="2829" width="85.1640625" style="1634" customWidth="1"/>
    <col min="2830" max="2830" width="79.83203125" style="1634" customWidth="1"/>
    <col min="2831" max="2831" width="12.1640625" style="1634" customWidth="1"/>
    <col min="2832" max="2832" width="18.1640625" style="1634" customWidth="1"/>
    <col min="2833" max="2833" width="16.33203125" style="1634" customWidth="1"/>
    <col min="2834" max="2834" width="7.1640625" style="1634" customWidth="1"/>
    <col min="2835" max="2835" width="18.5" style="1634" customWidth="1"/>
    <col min="2836" max="2836" width="9" style="1634" customWidth="1"/>
    <col min="2837" max="3072" width="8.83203125" style="1634" customWidth="1"/>
    <col min="3073" max="3073" width="79.1640625" style="1634" customWidth="1"/>
    <col min="3074" max="3074" width="7.1640625" style="1634" customWidth="1"/>
    <col min="3075" max="3075" width="15.83203125" style="1634" customWidth="1"/>
    <col min="3076" max="3076" width="5.1640625" style="1634" customWidth="1"/>
    <col min="3077" max="3077" width="61.6640625" style="1634" customWidth="1"/>
    <col min="3078" max="3078" width="9" style="1634" customWidth="1"/>
    <col min="3079" max="3079" width="11.33203125" style="1634" customWidth="1"/>
    <col min="3080" max="3080" width="59.33203125" style="1634" customWidth="1"/>
    <col min="3081" max="3082" width="15.83203125" style="1634" customWidth="1"/>
    <col min="3083" max="3083" width="29" style="1634" customWidth="1"/>
    <col min="3084" max="3084" width="10.1640625" style="1634" customWidth="1"/>
    <col min="3085" max="3085" width="85.1640625" style="1634" customWidth="1"/>
    <col min="3086" max="3086" width="79.83203125" style="1634" customWidth="1"/>
    <col min="3087" max="3087" width="12.1640625" style="1634" customWidth="1"/>
    <col min="3088" max="3088" width="18.1640625" style="1634" customWidth="1"/>
    <col min="3089" max="3089" width="16.33203125" style="1634" customWidth="1"/>
    <col min="3090" max="3090" width="7.1640625" style="1634" customWidth="1"/>
    <col min="3091" max="3091" width="18.5" style="1634" customWidth="1"/>
    <col min="3092" max="3092" width="9" style="1634" customWidth="1"/>
    <col min="3093" max="3328" width="8.83203125" style="1634" customWidth="1"/>
    <col min="3329" max="3329" width="79.1640625" style="1634" customWidth="1"/>
    <col min="3330" max="3330" width="7.1640625" style="1634" customWidth="1"/>
    <col min="3331" max="3331" width="15.83203125" style="1634" customWidth="1"/>
    <col min="3332" max="3332" width="5.1640625" style="1634" customWidth="1"/>
    <col min="3333" max="3333" width="61.6640625" style="1634" customWidth="1"/>
    <col min="3334" max="3334" width="9" style="1634" customWidth="1"/>
    <col min="3335" max="3335" width="11.33203125" style="1634" customWidth="1"/>
    <col min="3336" max="3336" width="59.33203125" style="1634" customWidth="1"/>
    <col min="3337" max="3338" width="15.83203125" style="1634" customWidth="1"/>
    <col min="3339" max="3339" width="29" style="1634" customWidth="1"/>
    <col min="3340" max="3340" width="10.1640625" style="1634" customWidth="1"/>
    <col min="3341" max="3341" width="85.1640625" style="1634" customWidth="1"/>
    <col min="3342" max="3342" width="79.83203125" style="1634" customWidth="1"/>
    <col min="3343" max="3343" width="12.1640625" style="1634" customWidth="1"/>
    <col min="3344" max="3344" width="18.1640625" style="1634" customWidth="1"/>
    <col min="3345" max="3345" width="16.33203125" style="1634" customWidth="1"/>
    <col min="3346" max="3346" width="7.1640625" style="1634" customWidth="1"/>
    <col min="3347" max="3347" width="18.5" style="1634" customWidth="1"/>
    <col min="3348" max="3348" width="9" style="1634" customWidth="1"/>
    <col min="3349" max="3584" width="8.83203125" style="1634" customWidth="1"/>
    <col min="3585" max="3585" width="79.1640625" style="1634" customWidth="1"/>
    <col min="3586" max="3586" width="7.1640625" style="1634" customWidth="1"/>
    <col min="3587" max="3587" width="15.83203125" style="1634" customWidth="1"/>
    <col min="3588" max="3588" width="5.1640625" style="1634" customWidth="1"/>
    <col min="3589" max="3589" width="61.6640625" style="1634" customWidth="1"/>
    <col min="3590" max="3590" width="9" style="1634" customWidth="1"/>
    <col min="3591" max="3591" width="11.33203125" style="1634" customWidth="1"/>
    <col min="3592" max="3592" width="59.33203125" style="1634" customWidth="1"/>
    <col min="3593" max="3594" width="15.83203125" style="1634" customWidth="1"/>
    <col min="3595" max="3595" width="29" style="1634" customWidth="1"/>
    <col min="3596" max="3596" width="10.1640625" style="1634" customWidth="1"/>
    <col min="3597" max="3597" width="85.1640625" style="1634" customWidth="1"/>
    <col min="3598" max="3598" width="79.83203125" style="1634" customWidth="1"/>
    <col min="3599" max="3599" width="12.1640625" style="1634" customWidth="1"/>
    <col min="3600" max="3600" width="18.1640625" style="1634" customWidth="1"/>
    <col min="3601" max="3601" width="16.33203125" style="1634" customWidth="1"/>
    <col min="3602" max="3602" width="7.1640625" style="1634" customWidth="1"/>
    <col min="3603" max="3603" width="18.5" style="1634" customWidth="1"/>
    <col min="3604" max="3604" width="9" style="1634" customWidth="1"/>
    <col min="3605" max="3840" width="8.83203125" style="1634" customWidth="1"/>
    <col min="3841" max="3841" width="79.1640625" style="1634" customWidth="1"/>
    <col min="3842" max="3842" width="7.1640625" style="1634" customWidth="1"/>
    <col min="3843" max="3843" width="15.83203125" style="1634" customWidth="1"/>
    <col min="3844" max="3844" width="5.1640625" style="1634" customWidth="1"/>
    <col min="3845" max="3845" width="61.6640625" style="1634" customWidth="1"/>
    <col min="3846" max="3846" width="9" style="1634" customWidth="1"/>
    <col min="3847" max="3847" width="11.33203125" style="1634" customWidth="1"/>
    <col min="3848" max="3848" width="59.33203125" style="1634" customWidth="1"/>
    <col min="3849" max="3850" width="15.83203125" style="1634" customWidth="1"/>
    <col min="3851" max="3851" width="29" style="1634" customWidth="1"/>
    <col min="3852" max="3852" width="10.1640625" style="1634" customWidth="1"/>
    <col min="3853" max="3853" width="85.1640625" style="1634" customWidth="1"/>
    <col min="3854" max="3854" width="79.83203125" style="1634" customWidth="1"/>
    <col min="3855" max="3855" width="12.1640625" style="1634" customWidth="1"/>
    <col min="3856" max="3856" width="18.1640625" style="1634" customWidth="1"/>
    <col min="3857" max="3857" width="16.33203125" style="1634" customWidth="1"/>
    <col min="3858" max="3858" width="7.1640625" style="1634" customWidth="1"/>
    <col min="3859" max="3859" width="18.5" style="1634" customWidth="1"/>
    <col min="3860" max="3860" width="9" style="1634" customWidth="1"/>
    <col min="3861" max="4096" width="8.83203125" style="1634" customWidth="1"/>
    <col min="4097" max="4097" width="79.1640625" style="1634" customWidth="1"/>
    <col min="4098" max="4098" width="7.1640625" style="1634" customWidth="1"/>
    <col min="4099" max="4099" width="15.83203125" style="1634" customWidth="1"/>
    <col min="4100" max="4100" width="5.1640625" style="1634" customWidth="1"/>
    <col min="4101" max="4101" width="61.6640625" style="1634" customWidth="1"/>
    <col min="4102" max="4102" width="9" style="1634" customWidth="1"/>
    <col min="4103" max="4103" width="11.33203125" style="1634" customWidth="1"/>
    <col min="4104" max="4104" width="59.33203125" style="1634" customWidth="1"/>
    <col min="4105" max="4106" width="15.83203125" style="1634" customWidth="1"/>
    <col min="4107" max="4107" width="29" style="1634" customWidth="1"/>
    <col min="4108" max="4108" width="10.1640625" style="1634" customWidth="1"/>
    <col min="4109" max="4109" width="85.1640625" style="1634" customWidth="1"/>
    <col min="4110" max="4110" width="79.83203125" style="1634" customWidth="1"/>
    <col min="4111" max="4111" width="12.1640625" style="1634" customWidth="1"/>
    <col min="4112" max="4112" width="18.1640625" style="1634" customWidth="1"/>
    <col min="4113" max="4113" width="16.33203125" style="1634" customWidth="1"/>
    <col min="4114" max="4114" width="7.1640625" style="1634" customWidth="1"/>
    <col min="4115" max="4115" width="18.5" style="1634" customWidth="1"/>
    <col min="4116" max="4116" width="9" style="1634" customWidth="1"/>
    <col min="4117" max="4352" width="8.83203125" style="1634" customWidth="1"/>
    <col min="4353" max="4353" width="79.1640625" style="1634" customWidth="1"/>
    <col min="4354" max="4354" width="7.1640625" style="1634" customWidth="1"/>
    <col min="4355" max="4355" width="15.83203125" style="1634" customWidth="1"/>
    <col min="4356" max="4356" width="5.1640625" style="1634" customWidth="1"/>
    <col min="4357" max="4357" width="61.6640625" style="1634" customWidth="1"/>
    <col min="4358" max="4358" width="9" style="1634" customWidth="1"/>
    <col min="4359" max="4359" width="11.33203125" style="1634" customWidth="1"/>
    <col min="4360" max="4360" width="59.33203125" style="1634" customWidth="1"/>
    <col min="4361" max="4362" width="15.83203125" style="1634" customWidth="1"/>
    <col min="4363" max="4363" width="29" style="1634" customWidth="1"/>
    <col min="4364" max="4364" width="10.1640625" style="1634" customWidth="1"/>
    <col min="4365" max="4365" width="85.1640625" style="1634" customWidth="1"/>
    <col min="4366" max="4366" width="79.83203125" style="1634" customWidth="1"/>
    <col min="4367" max="4367" width="12.1640625" style="1634" customWidth="1"/>
    <col min="4368" max="4368" width="18.1640625" style="1634" customWidth="1"/>
    <col min="4369" max="4369" width="16.33203125" style="1634" customWidth="1"/>
    <col min="4370" max="4370" width="7.1640625" style="1634" customWidth="1"/>
    <col min="4371" max="4371" width="18.5" style="1634" customWidth="1"/>
    <col min="4372" max="4372" width="9" style="1634" customWidth="1"/>
    <col min="4373" max="4608" width="8.83203125" style="1634" customWidth="1"/>
    <col min="4609" max="4609" width="79.1640625" style="1634" customWidth="1"/>
    <col min="4610" max="4610" width="7.1640625" style="1634" customWidth="1"/>
    <col min="4611" max="4611" width="15.83203125" style="1634" customWidth="1"/>
    <col min="4612" max="4612" width="5.1640625" style="1634" customWidth="1"/>
    <col min="4613" max="4613" width="61.6640625" style="1634" customWidth="1"/>
    <col min="4614" max="4614" width="9" style="1634" customWidth="1"/>
    <col min="4615" max="4615" width="11.33203125" style="1634" customWidth="1"/>
    <col min="4616" max="4616" width="59.33203125" style="1634" customWidth="1"/>
    <col min="4617" max="4618" width="15.83203125" style="1634" customWidth="1"/>
    <col min="4619" max="4619" width="29" style="1634" customWidth="1"/>
    <col min="4620" max="4620" width="10.1640625" style="1634" customWidth="1"/>
    <col min="4621" max="4621" width="85.1640625" style="1634" customWidth="1"/>
    <col min="4622" max="4622" width="79.83203125" style="1634" customWidth="1"/>
    <col min="4623" max="4623" width="12.1640625" style="1634" customWidth="1"/>
    <col min="4624" max="4624" width="18.1640625" style="1634" customWidth="1"/>
    <col min="4625" max="4625" width="16.33203125" style="1634" customWidth="1"/>
    <col min="4626" max="4626" width="7.1640625" style="1634" customWidth="1"/>
    <col min="4627" max="4627" width="18.5" style="1634" customWidth="1"/>
    <col min="4628" max="4628" width="9" style="1634" customWidth="1"/>
    <col min="4629" max="4864" width="8.83203125" style="1634" customWidth="1"/>
    <col min="4865" max="4865" width="79.1640625" style="1634" customWidth="1"/>
    <col min="4866" max="4866" width="7.1640625" style="1634" customWidth="1"/>
    <col min="4867" max="4867" width="15.83203125" style="1634" customWidth="1"/>
    <col min="4868" max="4868" width="5.1640625" style="1634" customWidth="1"/>
    <col min="4869" max="4869" width="61.6640625" style="1634" customWidth="1"/>
    <col min="4870" max="4870" width="9" style="1634" customWidth="1"/>
    <col min="4871" max="4871" width="11.33203125" style="1634" customWidth="1"/>
    <col min="4872" max="4872" width="59.33203125" style="1634" customWidth="1"/>
    <col min="4873" max="4874" width="15.83203125" style="1634" customWidth="1"/>
    <col min="4875" max="4875" width="29" style="1634" customWidth="1"/>
    <col min="4876" max="4876" width="10.1640625" style="1634" customWidth="1"/>
    <col min="4877" max="4877" width="85.1640625" style="1634" customWidth="1"/>
    <col min="4878" max="4878" width="79.83203125" style="1634" customWidth="1"/>
    <col min="4879" max="4879" width="12.1640625" style="1634" customWidth="1"/>
    <col min="4880" max="4880" width="18.1640625" style="1634" customWidth="1"/>
    <col min="4881" max="4881" width="16.33203125" style="1634" customWidth="1"/>
    <col min="4882" max="4882" width="7.1640625" style="1634" customWidth="1"/>
    <col min="4883" max="4883" width="18.5" style="1634" customWidth="1"/>
    <col min="4884" max="4884" width="9" style="1634" customWidth="1"/>
    <col min="4885" max="5120" width="8.83203125" style="1634" customWidth="1"/>
    <col min="5121" max="5121" width="79.1640625" style="1634" customWidth="1"/>
    <col min="5122" max="5122" width="7.1640625" style="1634" customWidth="1"/>
    <col min="5123" max="5123" width="15.83203125" style="1634" customWidth="1"/>
    <col min="5124" max="5124" width="5.1640625" style="1634" customWidth="1"/>
    <col min="5125" max="5125" width="61.6640625" style="1634" customWidth="1"/>
    <col min="5126" max="5126" width="9" style="1634" customWidth="1"/>
    <col min="5127" max="5127" width="11.33203125" style="1634" customWidth="1"/>
    <col min="5128" max="5128" width="59.33203125" style="1634" customWidth="1"/>
    <col min="5129" max="5130" width="15.83203125" style="1634" customWidth="1"/>
    <col min="5131" max="5131" width="29" style="1634" customWidth="1"/>
    <col min="5132" max="5132" width="10.1640625" style="1634" customWidth="1"/>
    <col min="5133" max="5133" width="85.1640625" style="1634" customWidth="1"/>
    <col min="5134" max="5134" width="79.83203125" style="1634" customWidth="1"/>
    <col min="5135" max="5135" width="12.1640625" style="1634" customWidth="1"/>
    <col min="5136" max="5136" width="18.1640625" style="1634" customWidth="1"/>
    <col min="5137" max="5137" width="16.33203125" style="1634" customWidth="1"/>
    <col min="5138" max="5138" width="7.1640625" style="1634" customWidth="1"/>
    <col min="5139" max="5139" width="18.5" style="1634" customWidth="1"/>
    <col min="5140" max="5140" width="9" style="1634" customWidth="1"/>
    <col min="5141" max="5376" width="8.83203125" style="1634" customWidth="1"/>
    <col min="5377" max="5377" width="79.1640625" style="1634" customWidth="1"/>
    <col min="5378" max="5378" width="7.1640625" style="1634" customWidth="1"/>
    <col min="5379" max="5379" width="15.83203125" style="1634" customWidth="1"/>
    <col min="5380" max="5380" width="5.1640625" style="1634" customWidth="1"/>
    <col min="5381" max="5381" width="61.6640625" style="1634" customWidth="1"/>
    <col min="5382" max="5382" width="9" style="1634" customWidth="1"/>
    <col min="5383" max="5383" width="11.33203125" style="1634" customWidth="1"/>
    <col min="5384" max="5384" width="59.33203125" style="1634" customWidth="1"/>
    <col min="5385" max="5386" width="15.83203125" style="1634" customWidth="1"/>
    <col min="5387" max="5387" width="29" style="1634" customWidth="1"/>
    <col min="5388" max="5388" width="10.1640625" style="1634" customWidth="1"/>
    <col min="5389" max="5389" width="85.1640625" style="1634" customWidth="1"/>
    <col min="5390" max="5390" width="79.83203125" style="1634" customWidth="1"/>
    <col min="5391" max="5391" width="12.1640625" style="1634" customWidth="1"/>
    <col min="5392" max="5392" width="18.1640625" style="1634" customWidth="1"/>
    <col min="5393" max="5393" width="16.33203125" style="1634" customWidth="1"/>
    <col min="5394" max="5394" width="7.1640625" style="1634" customWidth="1"/>
    <col min="5395" max="5395" width="18.5" style="1634" customWidth="1"/>
    <col min="5396" max="5396" width="9" style="1634" customWidth="1"/>
    <col min="5397" max="5632" width="8.83203125" style="1634" customWidth="1"/>
    <col min="5633" max="5633" width="79.1640625" style="1634" customWidth="1"/>
    <col min="5634" max="5634" width="7.1640625" style="1634" customWidth="1"/>
    <col min="5635" max="5635" width="15.83203125" style="1634" customWidth="1"/>
    <col min="5636" max="5636" width="5.1640625" style="1634" customWidth="1"/>
    <col min="5637" max="5637" width="61.6640625" style="1634" customWidth="1"/>
    <col min="5638" max="5638" width="9" style="1634" customWidth="1"/>
    <col min="5639" max="5639" width="11.33203125" style="1634" customWidth="1"/>
    <col min="5640" max="5640" width="59.33203125" style="1634" customWidth="1"/>
    <col min="5641" max="5642" width="15.83203125" style="1634" customWidth="1"/>
    <col min="5643" max="5643" width="29" style="1634" customWidth="1"/>
    <col min="5644" max="5644" width="10.1640625" style="1634" customWidth="1"/>
    <col min="5645" max="5645" width="85.1640625" style="1634" customWidth="1"/>
    <col min="5646" max="5646" width="79.83203125" style="1634" customWidth="1"/>
    <col min="5647" max="5647" width="12.1640625" style="1634" customWidth="1"/>
    <col min="5648" max="5648" width="18.1640625" style="1634" customWidth="1"/>
    <col min="5649" max="5649" width="16.33203125" style="1634" customWidth="1"/>
    <col min="5650" max="5650" width="7.1640625" style="1634" customWidth="1"/>
    <col min="5651" max="5651" width="18.5" style="1634" customWidth="1"/>
    <col min="5652" max="5652" width="9" style="1634" customWidth="1"/>
    <col min="5653" max="5888" width="8.83203125" style="1634" customWidth="1"/>
    <col min="5889" max="5889" width="79.1640625" style="1634" customWidth="1"/>
    <col min="5890" max="5890" width="7.1640625" style="1634" customWidth="1"/>
    <col min="5891" max="5891" width="15.83203125" style="1634" customWidth="1"/>
    <col min="5892" max="5892" width="5.1640625" style="1634" customWidth="1"/>
    <col min="5893" max="5893" width="61.6640625" style="1634" customWidth="1"/>
    <col min="5894" max="5894" width="9" style="1634" customWidth="1"/>
    <col min="5895" max="5895" width="11.33203125" style="1634" customWidth="1"/>
    <col min="5896" max="5896" width="59.33203125" style="1634" customWidth="1"/>
    <col min="5897" max="5898" width="15.83203125" style="1634" customWidth="1"/>
    <col min="5899" max="5899" width="29" style="1634" customWidth="1"/>
    <col min="5900" max="5900" width="10.1640625" style="1634" customWidth="1"/>
    <col min="5901" max="5901" width="85.1640625" style="1634" customWidth="1"/>
    <col min="5902" max="5902" width="79.83203125" style="1634" customWidth="1"/>
    <col min="5903" max="5903" width="12.1640625" style="1634" customWidth="1"/>
    <col min="5904" max="5904" width="18.1640625" style="1634" customWidth="1"/>
    <col min="5905" max="5905" width="16.33203125" style="1634" customWidth="1"/>
    <col min="5906" max="5906" width="7.1640625" style="1634" customWidth="1"/>
    <col min="5907" max="5907" width="18.5" style="1634" customWidth="1"/>
    <col min="5908" max="5908" width="9" style="1634" customWidth="1"/>
    <col min="5909" max="6144" width="8.83203125" style="1634" customWidth="1"/>
    <col min="6145" max="6145" width="79.1640625" style="1634" customWidth="1"/>
    <col min="6146" max="6146" width="7.1640625" style="1634" customWidth="1"/>
    <col min="6147" max="6147" width="15.83203125" style="1634" customWidth="1"/>
    <col min="6148" max="6148" width="5.1640625" style="1634" customWidth="1"/>
    <col min="6149" max="6149" width="61.6640625" style="1634" customWidth="1"/>
    <col min="6150" max="6150" width="9" style="1634" customWidth="1"/>
    <col min="6151" max="6151" width="11.33203125" style="1634" customWidth="1"/>
    <col min="6152" max="6152" width="59.33203125" style="1634" customWidth="1"/>
    <col min="6153" max="6154" width="15.83203125" style="1634" customWidth="1"/>
    <col min="6155" max="6155" width="29" style="1634" customWidth="1"/>
    <col min="6156" max="6156" width="10.1640625" style="1634" customWidth="1"/>
    <col min="6157" max="6157" width="85.1640625" style="1634" customWidth="1"/>
    <col min="6158" max="6158" width="79.83203125" style="1634" customWidth="1"/>
    <col min="6159" max="6159" width="12.1640625" style="1634" customWidth="1"/>
    <col min="6160" max="6160" width="18.1640625" style="1634" customWidth="1"/>
    <col min="6161" max="6161" width="16.33203125" style="1634" customWidth="1"/>
    <col min="6162" max="6162" width="7.1640625" style="1634" customWidth="1"/>
    <col min="6163" max="6163" width="18.5" style="1634" customWidth="1"/>
    <col min="6164" max="6164" width="9" style="1634" customWidth="1"/>
    <col min="6165" max="6400" width="8.83203125" style="1634" customWidth="1"/>
    <col min="6401" max="6401" width="79.1640625" style="1634" customWidth="1"/>
    <col min="6402" max="6402" width="7.1640625" style="1634" customWidth="1"/>
    <col min="6403" max="6403" width="15.83203125" style="1634" customWidth="1"/>
    <col min="6404" max="6404" width="5.1640625" style="1634" customWidth="1"/>
    <col min="6405" max="6405" width="61.6640625" style="1634" customWidth="1"/>
    <col min="6406" max="6406" width="9" style="1634" customWidth="1"/>
    <col min="6407" max="6407" width="11.33203125" style="1634" customWidth="1"/>
    <col min="6408" max="6408" width="59.33203125" style="1634" customWidth="1"/>
    <col min="6409" max="6410" width="15.83203125" style="1634" customWidth="1"/>
    <col min="6411" max="6411" width="29" style="1634" customWidth="1"/>
    <col min="6412" max="6412" width="10.1640625" style="1634" customWidth="1"/>
    <col min="6413" max="6413" width="85.1640625" style="1634" customWidth="1"/>
    <col min="6414" max="6414" width="79.83203125" style="1634" customWidth="1"/>
    <col min="6415" max="6415" width="12.1640625" style="1634" customWidth="1"/>
    <col min="6416" max="6416" width="18.1640625" style="1634" customWidth="1"/>
    <col min="6417" max="6417" width="16.33203125" style="1634" customWidth="1"/>
    <col min="6418" max="6418" width="7.1640625" style="1634" customWidth="1"/>
    <col min="6419" max="6419" width="18.5" style="1634" customWidth="1"/>
    <col min="6420" max="6420" width="9" style="1634" customWidth="1"/>
    <col min="6421" max="6656" width="8.83203125" style="1634" customWidth="1"/>
    <col min="6657" max="6657" width="79.1640625" style="1634" customWidth="1"/>
    <col min="6658" max="6658" width="7.1640625" style="1634" customWidth="1"/>
    <col min="6659" max="6659" width="15.83203125" style="1634" customWidth="1"/>
    <col min="6660" max="6660" width="5.1640625" style="1634" customWidth="1"/>
    <col min="6661" max="6661" width="61.6640625" style="1634" customWidth="1"/>
    <col min="6662" max="6662" width="9" style="1634" customWidth="1"/>
    <col min="6663" max="6663" width="11.33203125" style="1634" customWidth="1"/>
    <col min="6664" max="6664" width="59.33203125" style="1634" customWidth="1"/>
    <col min="6665" max="6666" width="15.83203125" style="1634" customWidth="1"/>
    <col min="6667" max="6667" width="29" style="1634" customWidth="1"/>
    <col min="6668" max="6668" width="10.1640625" style="1634" customWidth="1"/>
    <col min="6669" max="6669" width="85.1640625" style="1634" customWidth="1"/>
    <col min="6670" max="6670" width="79.83203125" style="1634" customWidth="1"/>
    <col min="6671" max="6671" width="12.1640625" style="1634" customWidth="1"/>
    <col min="6672" max="6672" width="18.1640625" style="1634" customWidth="1"/>
    <col min="6673" max="6673" width="16.33203125" style="1634" customWidth="1"/>
    <col min="6674" max="6674" width="7.1640625" style="1634" customWidth="1"/>
    <col min="6675" max="6675" width="18.5" style="1634" customWidth="1"/>
    <col min="6676" max="6676" width="9" style="1634" customWidth="1"/>
    <col min="6677" max="6912" width="8.83203125" style="1634" customWidth="1"/>
    <col min="6913" max="6913" width="79.1640625" style="1634" customWidth="1"/>
    <col min="6914" max="6914" width="7.1640625" style="1634" customWidth="1"/>
    <col min="6915" max="6915" width="15.83203125" style="1634" customWidth="1"/>
    <col min="6916" max="6916" width="5.1640625" style="1634" customWidth="1"/>
    <col min="6917" max="6917" width="61.6640625" style="1634" customWidth="1"/>
    <col min="6918" max="6918" width="9" style="1634" customWidth="1"/>
    <col min="6919" max="6919" width="11.33203125" style="1634" customWidth="1"/>
    <col min="6920" max="6920" width="59.33203125" style="1634" customWidth="1"/>
    <col min="6921" max="6922" width="15.83203125" style="1634" customWidth="1"/>
    <col min="6923" max="6923" width="29" style="1634" customWidth="1"/>
    <col min="6924" max="6924" width="10.1640625" style="1634" customWidth="1"/>
    <col min="6925" max="6925" width="85.1640625" style="1634" customWidth="1"/>
    <col min="6926" max="6926" width="79.83203125" style="1634" customWidth="1"/>
    <col min="6927" max="6927" width="12.1640625" style="1634" customWidth="1"/>
    <col min="6928" max="6928" width="18.1640625" style="1634" customWidth="1"/>
    <col min="6929" max="6929" width="16.33203125" style="1634" customWidth="1"/>
    <col min="6930" max="6930" width="7.1640625" style="1634" customWidth="1"/>
    <col min="6931" max="6931" width="18.5" style="1634" customWidth="1"/>
    <col min="6932" max="6932" width="9" style="1634" customWidth="1"/>
    <col min="6933" max="7168" width="8.83203125" style="1634" customWidth="1"/>
    <col min="7169" max="7169" width="79.1640625" style="1634" customWidth="1"/>
    <col min="7170" max="7170" width="7.1640625" style="1634" customWidth="1"/>
    <col min="7171" max="7171" width="15.83203125" style="1634" customWidth="1"/>
    <col min="7172" max="7172" width="5.1640625" style="1634" customWidth="1"/>
    <col min="7173" max="7173" width="61.6640625" style="1634" customWidth="1"/>
    <col min="7174" max="7174" width="9" style="1634" customWidth="1"/>
    <col min="7175" max="7175" width="11.33203125" style="1634" customWidth="1"/>
    <col min="7176" max="7176" width="59.33203125" style="1634" customWidth="1"/>
    <col min="7177" max="7178" width="15.83203125" style="1634" customWidth="1"/>
    <col min="7179" max="7179" width="29" style="1634" customWidth="1"/>
    <col min="7180" max="7180" width="10.1640625" style="1634" customWidth="1"/>
    <col min="7181" max="7181" width="85.1640625" style="1634" customWidth="1"/>
    <col min="7182" max="7182" width="79.83203125" style="1634" customWidth="1"/>
    <col min="7183" max="7183" width="12.1640625" style="1634" customWidth="1"/>
    <col min="7184" max="7184" width="18.1640625" style="1634" customWidth="1"/>
    <col min="7185" max="7185" width="16.33203125" style="1634" customWidth="1"/>
    <col min="7186" max="7186" width="7.1640625" style="1634" customWidth="1"/>
    <col min="7187" max="7187" width="18.5" style="1634" customWidth="1"/>
    <col min="7188" max="7188" width="9" style="1634" customWidth="1"/>
    <col min="7189" max="7424" width="8.83203125" style="1634" customWidth="1"/>
    <col min="7425" max="7425" width="79.1640625" style="1634" customWidth="1"/>
    <col min="7426" max="7426" width="7.1640625" style="1634" customWidth="1"/>
    <col min="7427" max="7427" width="15.83203125" style="1634" customWidth="1"/>
    <col min="7428" max="7428" width="5.1640625" style="1634" customWidth="1"/>
    <col min="7429" max="7429" width="61.6640625" style="1634" customWidth="1"/>
    <col min="7430" max="7430" width="9" style="1634" customWidth="1"/>
    <col min="7431" max="7431" width="11.33203125" style="1634" customWidth="1"/>
    <col min="7432" max="7432" width="59.33203125" style="1634" customWidth="1"/>
    <col min="7433" max="7434" width="15.83203125" style="1634" customWidth="1"/>
    <col min="7435" max="7435" width="29" style="1634" customWidth="1"/>
    <col min="7436" max="7436" width="10.1640625" style="1634" customWidth="1"/>
    <col min="7437" max="7437" width="85.1640625" style="1634" customWidth="1"/>
    <col min="7438" max="7438" width="79.83203125" style="1634" customWidth="1"/>
    <col min="7439" max="7439" width="12.1640625" style="1634" customWidth="1"/>
    <col min="7440" max="7440" width="18.1640625" style="1634" customWidth="1"/>
    <col min="7441" max="7441" width="16.33203125" style="1634" customWidth="1"/>
    <col min="7442" max="7442" width="7.1640625" style="1634" customWidth="1"/>
    <col min="7443" max="7443" width="18.5" style="1634" customWidth="1"/>
    <col min="7444" max="7444" width="9" style="1634" customWidth="1"/>
    <col min="7445" max="7680" width="8.83203125" style="1634" customWidth="1"/>
    <col min="7681" max="7681" width="79.1640625" style="1634" customWidth="1"/>
    <col min="7682" max="7682" width="7.1640625" style="1634" customWidth="1"/>
    <col min="7683" max="7683" width="15.83203125" style="1634" customWidth="1"/>
    <col min="7684" max="7684" width="5.1640625" style="1634" customWidth="1"/>
    <col min="7685" max="7685" width="61.6640625" style="1634" customWidth="1"/>
    <col min="7686" max="7686" width="9" style="1634" customWidth="1"/>
    <col min="7687" max="7687" width="11.33203125" style="1634" customWidth="1"/>
    <col min="7688" max="7688" width="59.33203125" style="1634" customWidth="1"/>
    <col min="7689" max="7690" width="15.83203125" style="1634" customWidth="1"/>
    <col min="7691" max="7691" width="29" style="1634" customWidth="1"/>
    <col min="7692" max="7692" width="10.1640625" style="1634" customWidth="1"/>
    <col min="7693" max="7693" width="85.1640625" style="1634" customWidth="1"/>
    <col min="7694" max="7694" width="79.83203125" style="1634" customWidth="1"/>
    <col min="7695" max="7695" width="12.1640625" style="1634" customWidth="1"/>
    <col min="7696" max="7696" width="18.1640625" style="1634" customWidth="1"/>
    <col min="7697" max="7697" width="16.33203125" style="1634" customWidth="1"/>
    <col min="7698" max="7698" width="7.1640625" style="1634" customWidth="1"/>
    <col min="7699" max="7699" width="18.5" style="1634" customWidth="1"/>
    <col min="7700" max="7700" width="9" style="1634" customWidth="1"/>
    <col min="7701" max="7936" width="8.83203125" style="1634" customWidth="1"/>
    <col min="7937" max="7937" width="79.1640625" style="1634" customWidth="1"/>
    <col min="7938" max="7938" width="7.1640625" style="1634" customWidth="1"/>
    <col min="7939" max="7939" width="15.83203125" style="1634" customWidth="1"/>
    <col min="7940" max="7940" width="5.1640625" style="1634" customWidth="1"/>
    <col min="7941" max="7941" width="61.6640625" style="1634" customWidth="1"/>
    <col min="7942" max="7942" width="9" style="1634" customWidth="1"/>
    <col min="7943" max="7943" width="11.33203125" style="1634" customWidth="1"/>
    <col min="7944" max="7944" width="59.33203125" style="1634" customWidth="1"/>
    <col min="7945" max="7946" width="15.83203125" style="1634" customWidth="1"/>
    <col min="7947" max="7947" width="29" style="1634" customWidth="1"/>
    <col min="7948" max="7948" width="10.1640625" style="1634" customWidth="1"/>
    <col min="7949" max="7949" width="85.1640625" style="1634" customWidth="1"/>
    <col min="7950" max="7950" width="79.83203125" style="1634" customWidth="1"/>
    <col min="7951" max="7951" width="12.1640625" style="1634" customWidth="1"/>
    <col min="7952" max="7952" width="18.1640625" style="1634" customWidth="1"/>
    <col min="7953" max="7953" width="16.33203125" style="1634" customWidth="1"/>
    <col min="7954" max="7954" width="7.1640625" style="1634" customWidth="1"/>
    <col min="7955" max="7955" width="18.5" style="1634" customWidth="1"/>
    <col min="7956" max="7956" width="9" style="1634" customWidth="1"/>
    <col min="7957" max="8192" width="8.83203125" style="1634" customWidth="1"/>
    <col min="8193" max="8193" width="79.1640625" style="1634" customWidth="1"/>
    <col min="8194" max="8194" width="7.1640625" style="1634" customWidth="1"/>
    <col min="8195" max="8195" width="15.83203125" style="1634" customWidth="1"/>
    <col min="8196" max="8196" width="5.1640625" style="1634" customWidth="1"/>
    <col min="8197" max="8197" width="61.6640625" style="1634" customWidth="1"/>
    <col min="8198" max="8198" width="9" style="1634" customWidth="1"/>
    <col min="8199" max="8199" width="11.33203125" style="1634" customWidth="1"/>
    <col min="8200" max="8200" width="59.33203125" style="1634" customWidth="1"/>
    <col min="8201" max="8202" width="15.83203125" style="1634" customWidth="1"/>
    <col min="8203" max="8203" width="29" style="1634" customWidth="1"/>
    <col min="8204" max="8204" width="10.1640625" style="1634" customWidth="1"/>
    <col min="8205" max="8205" width="85.1640625" style="1634" customWidth="1"/>
    <col min="8206" max="8206" width="79.83203125" style="1634" customWidth="1"/>
    <col min="8207" max="8207" width="12.1640625" style="1634" customWidth="1"/>
    <col min="8208" max="8208" width="18.1640625" style="1634" customWidth="1"/>
    <col min="8209" max="8209" width="16.33203125" style="1634" customWidth="1"/>
    <col min="8210" max="8210" width="7.1640625" style="1634" customWidth="1"/>
    <col min="8211" max="8211" width="18.5" style="1634" customWidth="1"/>
    <col min="8212" max="8212" width="9" style="1634" customWidth="1"/>
    <col min="8213" max="8448" width="8.83203125" style="1634" customWidth="1"/>
    <col min="8449" max="8449" width="79.1640625" style="1634" customWidth="1"/>
    <col min="8450" max="8450" width="7.1640625" style="1634" customWidth="1"/>
    <col min="8451" max="8451" width="15.83203125" style="1634" customWidth="1"/>
    <col min="8452" max="8452" width="5.1640625" style="1634" customWidth="1"/>
    <col min="8453" max="8453" width="61.6640625" style="1634" customWidth="1"/>
    <col min="8454" max="8454" width="9" style="1634" customWidth="1"/>
    <col min="8455" max="8455" width="11.33203125" style="1634" customWidth="1"/>
    <col min="8456" max="8456" width="59.33203125" style="1634" customWidth="1"/>
    <col min="8457" max="8458" width="15.83203125" style="1634" customWidth="1"/>
    <col min="8459" max="8459" width="29" style="1634" customWidth="1"/>
    <col min="8460" max="8460" width="10.1640625" style="1634" customWidth="1"/>
    <col min="8461" max="8461" width="85.1640625" style="1634" customWidth="1"/>
    <col min="8462" max="8462" width="79.83203125" style="1634" customWidth="1"/>
    <col min="8463" max="8463" width="12.1640625" style="1634" customWidth="1"/>
    <col min="8464" max="8464" width="18.1640625" style="1634" customWidth="1"/>
    <col min="8465" max="8465" width="16.33203125" style="1634" customWidth="1"/>
    <col min="8466" max="8466" width="7.1640625" style="1634" customWidth="1"/>
    <col min="8467" max="8467" width="18.5" style="1634" customWidth="1"/>
    <col min="8468" max="8468" width="9" style="1634" customWidth="1"/>
    <col min="8469" max="8704" width="8.83203125" style="1634" customWidth="1"/>
    <col min="8705" max="8705" width="79.1640625" style="1634" customWidth="1"/>
    <col min="8706" max="8706" width="7.1640625" style="1634" customWidth="1"/>
    <col min="8707" max="8707" width="15.83203125" style="1634" customWidth="1"/>
    <col min="8708" max="8708" width="5.1640625" style="1634" customWidth="1"/>
    <col min="8709" max="8709" width="61.6640625" style="1634" customWidth="1"/>
    <col min="8710" max="8710" width="9" style="1634" customWidth="1"/>
    <col min="8711" max="8711" width="11.33203125" style="1634" customWidth="1"/>
    <col min="8712" max="8712" width="59.33203125" style="1634" customWidth="1"/>
    <col min="8713" max="8714" width="15.83203125" style="1634" customWidth="1"/>
    <col min="8715" max="8715" width="29" style="1634" customWidth="1"/>
    <col min="8716" max="8716" width="10.1640625" style="1634" customWidth="1"/>
    <col min="8717" max="8717" width="85.1640625" style="1634" customWidth="1"/>
    <col min="8718" max="8718" width="79.83203125" style="1634" customWidth="1"/>
    <col min="8719" max="8719" width="12.1640625" style="1634" customWidth="1"/>
    <col min="8720" max="8720" width="18.1640625" style="1634" customWidth="1"/>
    <col min="8721" max="8721" width="16.33203125" style="1634" customWidth="1"/>
    <col min="8722" max="8722" width="7.1640625" style="1634" customWidth="1"/>
    <col min="8723" max="8723" width="18.5" style="1634" customWidth="1"/>
    <col min="8724" max="8724" width="9" style="1634" customWidth="1"/>
    <col min="8725" max="8960" width="8.83203125" style="1634" customWidth="1"/>
    <col min="8961" max="8961" width="79.1640625" style="1634" customWidth="1"/>
    <col min="8962" max="8962" width="7.1640625" style="1634" customWidth="1"/>
    <col min="8963" max="8963" width="15.83203125" style="1634" customWidth="1"/>
    <col min="8964" max="8964" width="5.1640625" style="1634" customWidth="1"/>
    <col min="8965" max="8965" width="61.6640625" style="1634" customWidth="1"/>
    <col min="8966" max="8966" width="9" style="1634" customWidth="1"/>
    <col min="8967" max="8967" width="11.33203125" style="1634" customWidth="1"/>
    <col min="8968" max="8968" width="59.33203125" style="1634" customWidth="1"/>
    <col min="8969" max="8970" width="15.83203125" style="1634" customWidth="1"/>
    <col min="8971" max="8971" width="29" style="1634" customWidth="1"/>
    <col min="8972" max="8972" width="10.1640625" style="1634" customWidth="1"/>
    <col min="8973" max="8973" width="85.1640625" style="1634" customWidth="1"/>
    <col min="8974" max="8974" width="79.83203125" style="1634" customWidth="1"/>
    <col min="8975" max="8975" width="12.1640625" style="1634" customWidth="1"/>
    <col min="8976" max="8976" width="18.1640625" style="1634" customWidth="1"/>
    <col min="8977" max="8977" width="16.33203125" style="1634" customWidth="1"/>
    <col min="8978" max="8978" width="7.1640625" style="1634" customWidth="1"/>
    <col min="8979" max="8979" width="18.5" style="1634" customWidth="1"/>
    <col min="8980" max="8980" width="9" style="1634" customWidth="1"/>
    <col min="8981" max="9216" width="8.83203125" style="1634" customWidth="1"/>
    <col min="9217" max="9217" width="79.1640625" style="1634" customWidth="1"/>
    <col min="9218" max="9218" width="7.1640625" style="1634" customWidth="1"/>
    <col min="9219" max="9219" width="15.83203125" style="1634" customWidth="1"/>
    <col min="9220" max="9220" width="5.1640625" style="1634" customWidth="1"/>
    <col min="9221" max="9221" width="61.6640625" style="1634" customWidth="1"/>
    <col min="9222" max="9222" width="9" style="1634" customWidth="1"/>
    <col min="9223" max="9223" width="11.33203125" style="1634" customWidth="1"/>
    <col min="9224" max="9224" width="59.33203125" style="1634" customWidth="1"/>
    <col min="9225" max="9226" width="15.83203125" style="1634" customWidth="1"/>
    <col min="9227" max="9227" width="29" style="1634" customWidth="1"/>
    <col min="9228" max="9228" width="10.1640625" style="1634" customWidth="1"/>
    <col min="9229" max="9229" width="85.1640625" style="1634" customWidth="1"/>
    <col min="9230" max="9230" width="79.83203125" style="1634" customWidth="1"/>
    <col min="9231" max="9231" width="12.1640625" style="1634" customWidth="1"/>
    <col min="9232" max="9232" width="18.1640625" style="1634" customWidth="1"/>
    <col min="9233" max="9233" width="16.33203125" style="1634" customWidth="1"/>
    <col min="9234" max="9234" width="7.1640625" style="1634" customWidth="1"/>
    <col min="9235" max="9235" width="18.5" style="1634" customWidth="1"/>
    <col min="9236" max="9236" width="9" style="1634" customWidth="1"/>
    <col min="9237" max="9472" width="8.83203125" style="1634" customWidth="1"/>
    <col min="9473" max="9473" width="79.1640625" style="1634" customWidth="1"/>
    <col min="9474" max="9474" width="7.1640625" style="1634" customWidth="1"/>
    <col min="9475" max="9475" width="15.83203125" style="1634" customWidth="1"/>
    <col min="9476" max="9476" width="5.1640625" style="1634" customWidth="1"/>
    <col min="9477" max="9477" width="61.6640625" style="1634" customWidth="1"/>
    <col min="9478" max="9478" width="9" style="1634" customWidth="1"/>
    <col min="9479" max="9479" width="11.33203125" style="1634" customWidth="1"/>
    <col min="9480" max="9480" width="59.33203125" style="1634" customWidth="1"/>
    <col min="9481" max="9482" width="15.83203125" style="1634" customWidth="1"/>
    <col min="9483" max="9483" width="29" style="1634" customWidth="1"/>
    <col min="9484" max="9484" width="10.1640625" style="1634" customWidth="1"/>
    <col min="9485" max="9485" width="85.1640625" style="1634" customWidth="1"/>
    <col min="9486" max="9486" width="79.83203125" style="1634" customWidth="1"/>
    <col min="9487" max="9487" width="12.1640625" style="1634" customWidth="1"/>
    <col min="9488" max="9488" width="18.1640625" style="1634" customWidth="1"/>
    <col min="9489" max="9489" width="16.33203125" style="1634" customWidth="1"/>
    <col min="9490" max="9490" width="7.1640625" style="1634" customWidth="1"/>
    <col min="9491" max="9491" width="18.5" style="1634" customWidth="1"/>
    <col min="9492" max="9492" width="9" style="1634" customWidth="1"/>
    <col min="9493" max="9728" width="8.83203125" style="1634" customWidth="1"/>
    <col min="9729" max="9729" width="79.1640625" style="1634" customWidth="1"/>
    <col min="9730" max="9730" width="7.1640625" style="1634" customWidth="1"/>
    <col min="9731" max="9731" width="15.83203125" style="1634" customWidth="1"/>
    <col min="9732" max="9732" width="5.1640625" style="1634" customWidth="1"/>
    <col min="9733" max="9733" width="61.6640625" style="1634" customWidth="1"/>
    <col min="9734" max="9734" width="9" style="1634" customWidth="1"/>
    <col min="9735" max="9735" width="11.33203125" style="1634" customWidth="1"/>
    <col min="9736" max="9736" width="59.33203125" style="1634" customWidth="1"/>
    <col min="9737" max="9738" width="15.83203125" style="1634" customWidth="1"/>
    <col min="9739" max="9739" width="29" style="1634" customWidth="1"/>
    <col min="9740" max="9740" width="10.1640625" style="1634" customWidth="1"/>
    <col min="9741" max="9741" width="85.1640625" style="1634" customWidth="1"/>
    <col min="9742" max="9742" width="79.83203125" style="1634" customWidth="1"/>
    <col min="9743" max="9743" width="12.1640625" style="1634" customWidth="1"/>
    <col min="9744" max="9744" width="18.1640625" style="1634" customWidth="1"/>
    <col min="9745" max="9745" width="16.33203125" style="1634" customWidth="1"/>
    <col min="9746" max="9746" width="7.1640625" style="1634" customWidth="1"/>
    <col min="9747" max="9747" width="18.5" style="1634" customWidth="1"/>
    <col min="9748" max="9748" width="9" style="1634" customWidth="1"/>
    <col min="9749" max="9984" width="8.83203125" style="1634" customWidth="1"/>
    <col min="9985" max="9985" width="79.1640625" style="1634" customWidth="1"/>
    <col min="9986" max="9986" width="7.1640625" style="1634" customWidth="1"/>
    <col min="9987" max="9987" width="15.83203125" style="1634" customWidth="1"/>
    <col min="9988" max="9988" width="5.1640625" style="1634" customWidth="1"/>
    <col min="9989" max="9989" width="61.6640625" style="1634" customWidth="1"/>
    <col min="9990" max="9990" width="9" style="1634" customWidth="1"/>
    <col min="9991" max="9991" width="11.33203125" style="1634" customWidth="1"/>
    <col min="9992" max="9992" width="59.33203125" style="1634" customWidth="1"/>
    <col min="9993" max="9994" width="15.83203125" style="1634" customWidth="1"/>
    <col min="9995" max="9995" width="29" style="1634" customWidth="1"/>
    <col min="9996" max="9996" width="10.1640625" style="1634" customWidth="1"/>
    <col min="9997" max="9997" width="85.1640625" style="1634" customWidth="1"/>
    <col min="9998" max="9998" width="79.83203125" style="1634" customWidth="1"/>
    <col min="9999" max="9999" width="12.1640625" style="1634" customWidth="1"/>
    <col min="10000" max="10000" width="18.1640625" style="1634" customWidth="1"/>
    <col min="10001" max="10001" width="16.33203125" style="1634" customWidth="1"/>
    <col min="10002" max="10002" width="7.1640625" style="1634" customWidth="1"/>
    <col min="10003" max="10003" width="18.5" style="1634" customWidth="1"/>
    <col min="10004" max="10004" width="9" style="1634" customWidth="1"/>
    <col min="10005" max="10240" width="8.83203125" style="1634" customWidth="1"/>
    <col min="10241" max="10241" width="79.1640625" style="1634" customWidth="1"/>
    <col min="10242" max="10242" width="7.1640625" style="1634" customWidth="1"/>
    <col min="10243" max="10243" width="15.83203125" style="1634" customWidth="1"/>
    <col min="10244" max="10244" width="5.1640625" style="1634" customWidth="1"/>
    <col min="10245" max="10245" width="61.6640625" style="1634" customWidth="1"/>
    <col min="10246" max="10246" width="9" style="1634" customWidth="1"/>
    <col min="10247" max="10247" width="11.33203125" style="1634" customWidth="1"/>
    <col min="10248" max="10248" width="59.33203125" style="1634" customWidth="1"/>
    <col min="10249" max="10250" width="15.83203125" style="1634" customWidth="1"/>
    <col min="10251" max="10251" width="29" style="1634" customWidth="1"/>
    <col min="10252" max="10252" width="10.1640625" style="1634" customWidth="1"/>
    <col min="10253" max="10253" width="85.1640625" style="1634" customWidth="1"/>
    <col min="10254" max="10254" width="79.83203125" style="1634" customWidth="1"/>
    <col min="10255" max="10255" width="12.1640625" style="1634" customWidth="1"/>
    <col min="10256" max="10256" width="18.1640625" style="1634" customWidth="1"/>
    <col min="10257" max="10257" width="16.33203125" style="1634" customWidth="1"/>
    <col min="10258" max="10258" width="7.1640625" style="1634" customWidth="1"/>
    <col min="10259" max="10259" width="18.5" style="1634" customWidth="1"/>
    <col min="10260" max="10260" width="9" style="1634" customWidth="1"/>
    <col min="10261" max="10496" width="8.83203125" style="1634" customWidth="1"/>
    <col min="10497" max="10497" width="79.1640625" style="1634" customWidth="1"/>
    <col min="10498" max="10498" width="7.1640625" style="1634" customWidth="1"/>
    <col min="10499" max="10499" width="15.83203125" style="1634" customWidth="1"/>
    <col min="10500" max="10500" width="5.1640625" style="1634" customWidth="1"/>
    <col min="10501" max="10501" width="61.6640625" style="1634" customWidth="1"/>
    <col min="10502" max="10502" width="9" style="1634" customWidth="1"/>
    <col min="10503" max="10503" width="11.33203125" style="1634" customWidth="1"/>
    <col min="10504" max="10504" width="59.33203125" style="1634" customWidth="1"/>
    <col min="10505" max="10506" width="15.83203125" style="1634" customWidth="1"/>
    <col min="10507" max="10507" width="29" style="1634" customWidth="1"/>
    <col min="10508" max="10508" width="10.1640625" style="1634" customWidth="1"/>
    <col min="10509" max="10509" width="85.1640625" style="1634" customWidth="1"/>
    <col min="10510" max="10510" width="79.83203125" style="1634" customWidth="1"/>
    <col min="10511" max="10511" width="12.1640625" style="1634" customWidth="1"/>
    <col min="10512" max="10512" width="18.1640625" style="1634" customWidth="1"/>
    <col min="10513" max="10513" width="16.33203125" style="1634" customWidth="1"/>
    <col min="10514" max="10514" width="7.1640625" style="1634" customWidth="1"/>
    <col min="10515" max="10515" width="18.5" style="1634" customWidth="1"/>
    <col min="10516" max="10516" width="9" style="1634" customWidth="1"/>
    <col min="10517" max="10752" width="8.83203125" style="1634" customWidth="1"/>
    <col min="10753" max="10753" width="79.1640625" style="1634" customWidth="1"/>
    <col min="10754" max="10754" width="7.1640625" style="1634" customWidth="1"/>
    <col min="10755" max="10755" width="15.83203125" style="1634" customWidth="1"/>
    <col min="10756" max="10756" width="5.1640625" style="1634" customWidth="1"/>
    <col min="10757" max="10757" width="61.6640625" style="1634" customWidth="1"/>
    <col min="10758" max="10758" width="9" style="1634" customWidth="1"/>
    <col min="10759" max="10759" width="11.33203125" style="1634" customWidth="1"/>
    <col min="10760" max="10760" width="59.33203125" style="1634" customWidth="1"/>
    <col min="10761" max="10762" width="15.83203125" style="1634" customWidth="1"/>
    <col min="10763" max="10763" width="29" style="1634" customWidth="1"/>
    <col min="10764" max="10764" width="10.1640625" style="1634" customWidth="1"/>
    <col min="10765" max="10765" width="85.1640625" style="1634" customWidth="1"/>
    <col min="10766" max="10766" width="79.83203125" style="1634" customWidth="1"/>
    <col min="10767" max="10767" width="12.1640625" style="1634" customWidth="1"/>
    <col min="10768" max="10768" width="18.1640625" style="1634" customWidth="1"/>
    <col min="10769" max="10769" width="16.33203125" style="1634" customWidth="1"/>
    <col min="10770" max="10770" width="7.1640625" style="1634" customWidth="1"/>
    <col min="10771" max="10771" width="18.5" style="1634" customWidth="1"/>
    <col min="10772" max="10772" width="9" style="1634" customWidth="1"/>
    <col min="10773" max="11008" width="8.83203125" style="1634" customWidth="1"/>
    <col min="11009" max="11009" width="79.1640625" style="1634" customWidth="1"/>
    <col min="11010" max="11010" width="7.1640625" style="1634" customWidth="1"/>
    <col min="11011" max="11011" width="15.83203125" style="1634" customWidth="1"/>
    <col min="11012" max="11012" width="5.1640625" style="1634" customWidth="1"/>
    <col min="11013" max="11013" width="61.6640625" style="1634" customWidth="1"/>
    <col min="11014" max="11014" width="9" style="1634" customWidth="1"/>
    <col min="11015" max="11015" width="11.33203125" style="1634" customWidth="1"/>
    <col min="11016" max="11016" width="59.33203125" style="1634" customWidth="1"/>
    <col min="11017" max="11018" width="15.83203125" style="1634" customWidth="1"/>
    <col min="11019" max="11019" width="29" style="1634" customWidth="1"/>
    <col min="11020" max="11020" width="10.1640625" style="1634" customWidth="1"/>
    <col min="11021" max="11021" width="85.1640625" style="1634" customWidth="1"/>
    <col min="11022" max="11022" width="79.83203125" style="1634" customWidth="1"/>
    <col min="11023" max="11023" width="12.1640625" style="1634" customWidth="1"/>
    <col min="11024" max="11024" width="18.1640625" style="1634" customWidth="1"/>
    <col min="11025" max="11025" width="16.33203125" style="1634" customWidth="1"/>
    <col min="11026" max="11026" width="7.1640625" style="1634" customWidth="1"/>
    <col min="11027" max="11027" width="18.5" style="1634" customWidth="1"/>
    <col min="11028" max="11028" width="9" style="1634" customWidth="1"/>
    <col min="11029" max="11264" width="8.83203125" style="1634" customWidth="1"/>
    <col min="11265" max="11265" width="79.1640625" style="1634" customWidth="1"/>
    <col min="11266" max="11266" width="7.1640625" style="1634" customWidth="1"/>
    <col min="11267" max="11267" width="15.83203125" style="1634" customWidth="1"/>
    <col min="11268" max="11268" width="5.1640625" style="1634" customWidth="1"/>
    <col min="11269" max="11269" width="61.6640625" style="1634" customWidth="1"/>
    <col min="11270" max="11270" width="9" style="1634" customWidth="1"/>
    <col min="11271" max="11271" width="11.33203125" style="1634" customWidth="1"/>
    <col min="11272" max="11272" width="59.33203125" style="1634" customWidth="1"/>
    <col min="11273" max="11274" width="15.83203125" style="1634" customWidth="1"/>
    <col min="11275" max="11275" width="29" style="1634" customWidth="1"/>
    <col min="11276" max="11276" width="10.1640625" style="1634" customWidth="1"/>
    <col min="11277" max="11277" width="85.1640625" style="1634" customWidth="1"/>
    <col min="11278" max="11278" width="79.83203125" style="1634" customWidth="1"/>
    <col min="11279" max="11279" width="12.1640625" style="1634" customWidth="1"/>
    <col min="11280" max="11280" width="18.1640625" style="1634" customWidth="1"/>
    <col min="11281" max="11281" width="16.33203125" style="1634" customWidth="1"/>
    <col min="11282" max="11282" width="7.1640625" style="1634" customWidth="1"/>
    <col min="11283" max="11283" width="18.5" style="1634" customWidth="1"/>
    <col min="11284" max="11284" width="9" style="1634" customWidth="1"/>
    <col min="11285" max="11520" width="8.83203125" style="1634" customWidth="1"/>
    <col min="11521" max="11521" width="79.1640625" style="1634" customWidth="1"/>
    <col min="11522" max="11522" width="7.1640625" style="1634" customWidth="1"/>
    <col min="11523" max="11523" width="15.83203125" style="1634" customWidth="1"/>
    <col min="11524" max="11524" width="5.1640625" style="1634" customWidth="1"/>
    <col min="11525" max="11525" width="61.6640625" style="1634" customWidth="1"/>
    <col min="11526" max="11526" width="9" style="1634" customWidth="1"/>
    <col min="11527" max="11527" width="11.33203125" style="1634" customWidth="1"/>
    <col min="11528" max="11528" width="59.33203125" style="1634" customWidth="1"/>
    <col min="11529" max="11530" width="15.83203125" style="1634" customWidth="1"/>
    <col min="11531" max="11531" width="29" style="1634" customWidth="1"/>
    <col min="11532" max="11532" width="10.1640625" style="1634" customWidth="1"/>
    <col min="11533" max="11533" width="85.1640625" style="1634" customWidth="1"/>
    <col min="11534" max="11534" width="79.83203125" style="1634" customWidth="1"/>
    <col min="11535" max="11535" width="12.1640625" style="1634" customWidth="1"/>
    <col min="11536" max="11536" width="18.1640625" style="1634" customWidth="1"/>
    <col min="11537" max="11537" width="16.33203125" style="1634" customWidth="1"/>
    <col min="11538" max="11538" width="7.1640625" style="1634" customWidth="1"/>
    <col min="11539" max="11539" width="18.5" style="1634" customWidth="1"/>
    <col min="11540" max="11540" width="9" style="1634" customWidth="1"/>
    <col min="11541" max="11776" width="8.83203125" style="1634" customWidth="1"/>
    <col min="11777" max="11777" width="79.1640625" style="1634" customWidth="1"/>
    <col min="11778" max="11778" width="7.1640625" style="1634" customWidth="1"/>
    <col min="11779" max="11779" width="15.83203125" style="1634" customWidth="1"/>
    <col min="11780" max="11780" width="5.1640625" style="1634" customWidth="1"/>
    <col min="11781" max="11781" width="61.6640625" style="1634" customWidth="1"/>
    <col min="11782" max="11782" width="9" style="1634" customWidth="1"/>
    <col min="11783" max="11783" width="11.33203125" style="1634" customWidth="1"/>
    <col min="11784" max="11784" width="59.33203125" style="1634" customWidth="1"/>
    <col min="11785" max="11786" width="15.83203125" style="1634" customWidth="1"/>
    <col min="11787" max="11787" width="29" style="1634" customWidth="1"/>
    <col min="11788" max="11788" width="10.1640625" style="1634" customWidth="1"/>
    <col min="11789" max="11789" width="85.1640625" style="1634" customWidth="1"/>
    <col min="11790" max="11790" width="79.83203125" style="1634" customWidth="1"/>
    <col min="11791" max="11791" width="12.1640625" style="1634" customWidth="1"/>
    <col min="11792" max="11792" width="18.1640625" style="1634" customWidth="1"/>
    <col min="11793" max="11793" width="16.33203125" style="1634" customWidth="1"/>
    <col min="11794" max="11794" width="7.1640625" style="1634" customWidth="1"/>
    <col min="11795" max="11795" width="18.5" style="1634" customWidth="1"/>
    <col min="11796" max="11796" width="9" style="1634" customWidth="1"/>
    <col min="11797" max="12032" width="8.83203125" style="1634" customWidth="1"/>
    <col min="12033" max="12033" width="79.1640625" style="1634" customWidth="1"/>
    <col min="12034" max="12034" width="7.1640625" style="1634" customWidth="1"/>
    <col min="12035" max="12035" width="15.83203125" style="1634" customWidth="1"/>
    <col min="12036" max="12036" width="5.1640625" style="1634" customWidth="1"/>
    <col min="12037" max="12037" width="61.6640625" style="1634" customWidth="1"/>
    <col min="12038" max="12038" width="9" style="1634" customWidth="1"/>
    <col min="12039" max="12039" width="11.33203125" style="1634" customWidth="1"/>
    <col min="12040" max="12040" width="59.33203125" style="1634" customWidth="1"/>
    <col min="12041" max="12042" width="15.83203125" style="1634" customWidth="1"/>
    <col min="12043" max="12043" width="29" style="1634" customWidth="1"/>
    <col min="12044" max="12044" width="10.1640625" style="1634" customWidth="1"/>
    <col min="12045" max="12045" width="85.1640625" style="1634" customWidth="1"/>
    <col min="12046" max="12046" width="79.83203125" style="1634" customWidth="1"/>
    <col min="12047" max="12047" width="12.1640625" style="1634" customWidth="1"/>
    <col min="12048" max="12048" width="18.1640625" style="1634" customWidth="1"/>
    <col min="12049" max="12049" width="16.33203125" style="1634" customWidth="1"/>
    <col min="12050" max="12050" width="7.1640625" style="1634" customWidth="1"/>
    <col min="12051" max="12051" width="18.5" style="1634" customWidth="1"/>
    <col min="12052" max="12052" width="9" style="1634" customWidth="1"/>
    <col min="12053" max="12288" width="8.83203125" style="1634" customWidth="1"/>
    <col min="12289" max="12289" width="79.1640625" style="1634" customWidth="1"/>
    <col min="12290" max="12290" width="7.1640625" style="1634" customWidth="1"/>
    <col min="12291" max="12291" width="15.83203125" style="1634" customWidth="1"/>
    <col min="12292" max="12292" width="5.1640625" style="1634" customWidth="1"/>
    <col min="12293" max="12293" width="61.6640625" style="1634" customWidth="1"/>
    <col min="12294" max="12294" width="9" style="1634" customWidth="1"/>
    <col min="12295" max="12295" width="11.33203125" style="1634" customWidth="1"/>
    <col min="12296" max="12296" width="59.33203125" style="1634" customWidth="1"/>
    <col min="12297" max="12298" width="15.83203125" style="1634" customWidth="1"/>
    <col min="12299" max="12299" width="29" style="1634" customWidth="1"/>
    <col min="12300" max="12300" width="10.1640625" style="1634" customWidth="1"/>
    <col min="12301" max="12301" width="85.1640625" style="1634" customWidth="1"/>
    <col min="12302" max="12302" width="79.83203125" style="1634" customWidth="1"/>
    <col min="12303" max="12303" width="12.1640625" style="1634" customWidth="1"/>
    <col min="12304" max="12304" width="18.1640625" style="1634" customWidth="1"/>
    <col min="12305" max="12305" width="16.33203125" style="1634" customWidth="1"/>
    <col min="12306" max="12306" width="7.1640625" style="1634" customWidth="1"/>
    <col min="12307" max="12307" width="18.5" style="1634" customWidth="1"/>
    <col min="12308" max="12308" width="9" style="1634" customWidth="1"/>
    <col min="12309" max="12544" width="8.83203125" style="1634" customWidth="1"/>
    <col min="12545" max="12545" width="79.1640625" style="1634" customWidth="1"/>
    <col min="12546" max="12546" width="7.1640625" style="1634" customWidth="1"/>
    <col min="12547" max="12547" width="15.83203125" style="1634" customWidth="1"/>
    <col min="12548" max="12548" width="5.1640625" style="1634" customWidth="1"/>
    <col min="12549" max="12549" width="61.6640625" style="1634" customWidth="1"/>
    <col min="12550" max="12550" width="9" style="1634" customWidth="1"/>
    <col min="12551" max="12551" width="11.33203125" style="1634" customWidth="1"/>
    <col min="12552" max="12552" width="59.33203125" style="1634" customWidth="1"/>
    <col min="12553" max="12554" width="15.83203125" style="1634" customWidth="1"/>
    <col min="12555" max="12555" width="29" style="1634" customWidth="1"/>
    <col min="12556" max="12556" width="10.1640625" style="1634" customWidth="1"/>
    <col min="12557" max="12557" width="85.1640625" style="1634" customWidth="1"/>
    <col min="12558" max="12558" width="79.83203125" style="1634" customWidth="1"/>
    <col min="12559" max="12559" width="12.1640625" style="1634" customWidth="1"/>
    <col min="12560" max="12560" width="18.1640625" style="1634" customWidth="1"/>
    <col min="12561" max="12561" width="16.33203125" style="1634" customWidth="1"/>
    <col min="12562" max="12562" width="7.1640625" style="1634" customWidth="1"/>
    <col min="12563" max="12563" width="18.5" style="1634" customWidth="1"/>
    <col min="12564" max="12564" width="9" style="1634" customWidth="1"/>
    <col min="12565" max="12800" width="8.83203125" style="1634" customWidth="1"/>
    <col min="12801" max="12801" width="79.1640625" style="1634" customWidth="1"/>
    <col min="12802" max="12802" width="7.1640625" style="1634" customWidth="1"/>
    <col min="12803" max="12803" width="15.83203125" style="1634" customWidth="1"/>
    <col min="12804" max="12804" width="5.1640625" style="1634" customWidth="1"/>
    <col min="12805" max="12805" width="61.6640625" style="1634" customWidth="1"/>
    <col min="12806" max="12806" width="9" style="1634" customWidth="1"/>
    <col min="12807" max="12807" width="11.33203125" style="1634" customWidth="1"/>
    <col min="12808" max="12808" width="59.33203125" style="1634" customWidth="1"/>
    <col min="12809" max="12810" width="15.83203125" style="1634" customWidth="1"/>
    <col min="12811" max="12811" width="29" style="1634" customWidth="1"/>
    <col min="12812" max="12812" width="10.1640625" style="1634" customWidth="1"/>
    <col min="12813" max="12813" width="85.1640625" style="1634" customWidth="1"/>
    <col min="12814" max="12814" width="79.83203125" style="1634" customWidth="1"/>
    <col min="12815" max="12815" width="12.1640625" style="1634" customWidth="1"/>
    <col min="12816" max="12816" width="18.1640625" style="1634" customWidth="1"/>
    <col min="12817" max="12817" width="16.33203125" style="1634" customWidth="1"/>
    <col min="12818" max="12818" width="7.1640625" style="1634" customWidth="1"/>
    <col min="12819" max="12819" width="18.5" style="1634" customWidth="1"/>
    <col min="12820" max="12820" width="9" style="1634" customWidth="1"/>
    <col min="12821" max="13056" width="8.83203125" style="1634" customWidth="1"/>
    <col min="13057" max="13057" width="79.1640625" style="1634" customWidth="1"/>
    <col min="13058" max="13058" width="7.1640625" style="1634" customWidth="1"/>
    <col min="13059" max="13059" width="15.83203125" style="1634" customWidth="1"/>
    <col min="13060" max="13060" width="5.1640625" style="1634" customWidth="1"/>
    <col min="13061" max="13061" width="61.6640625" style="1634" customWidth="1"/>
    <col min="13062" max="13062" width="9" style="1634" customWidth="1"/>
    <col min="13063" max="13063" width="11.33203125" style="1634" customWidth="1"/>
    <col min="13064" max="13064" width="59.33203125" style="1634" customWidth="1"/>
    <col min="13065" max="13066" width="15.83203125" style="1634" customWidth="1"/>
    <col min="13067" max="13067" width="29" style="1634" customWidth="1"/>
    <col min="13068" max="13068" width="10.1640625" style="1634" customWidth="1"/>
    <col min="13069" max="13069" width="85.1640625" style="1634" customWidth="1"/>
    <col min="13070" max="13070" width="79.83203125" style="1634" customWidth="1"/>
    <col min="13071" max="13071" width="12.1640625" style="1634" customWidth="1"/>
    <col min="13072" max="13072" width="18.1640625" style="1634" customWidth="1"/>
    <col min="13073" max="13073" width="16.33203125" style="1634" customWidth="1"/>
    <col min="13074" max="13074" width="7.1640625" style="1634" customWidth="1"/>
    <col min="13075" max="13075" width="18.5" style="1634" customWidth="1"/>
    <col min="13076" max="13076" width="9" style="1634" customWidth="1"/>
    <col min="13077" max="13312" width="8.83203125" style="1634" customWidth="1"/>
    <col min="13313" max="13313" width="79.1640625" style="1634" customWidth="1"/>
    <col min="13314" max="13314" width="7.1640625" style="1634" customWidth="1"/>
    <col min="13315" max="13315" width="15.83203125" style="1634" customWidth="1"/>
    <col min="13316" max="13316" width="5.1640625" style="1634" customWidth="1"/>
    <col min="13317" max="13317" width="61.6640625" style="1634" customWidth="1"/>
    <col min="13318" max="13318" width="9" style="1634" customWidth="1"/>
    <col min="13319" max="13319" width="11.33203125" style="1634" customWidth="1"/>
    <col min="13320" max="13320" width="59.33203125" style="1634" customWidth="1"/>
    <col min="13321" max="13322" width="15.83203125" style="1634" customWidth="1"/>
    <col min="13323" max="13323" width="29" style="1634" customWidth="1"/>
    <col min="13324" max="13324" width="10.1640625" style="1634" customWidth="1"/>
    <col min="13325" max="13325" width="85.1640625" style="1634" customWidth="1"/>
    <col min="13326" max="13326" width="79.83203125" style="1634" customWidth="1"/>
    <col min="13327" max="13327" width="12.1640625" style="1634" customWidth="1"/>
    <col min="13328" max="13328" width="18.1640625" style="1634" customWidth="1"/>
    <col min="13329" max="13329" width="16.33203125" style="1634" customWidth="1"/>
    <col min="13330" max="13330" width="7.1640625" style="1634" customWidth="1"/>
    <col min="13331" max="13331" width="18.5" style="1634" customWidth="1"/>
    <col min="13332" max="13332" width="9" style="1634" customWidth="1"/>
    <col min="13333" max="13568" width="8.83203125" style="1634" customWidth="1"/>
    <col min="13569" max="13569" width="79.1640625" style="1634" customWidth="1"/>
    <col min="13570" max="13570" width="7.1640625" style="1634" customWidth="1"/>
    <col min="13571" max="13571" width="15.83203125" style="1634" customWidth="1"/>
    <col min="13572" max="13572" width="5.1640625" style="1634" customWidth="1"/>
    <col min="13573" max="13573" width="61.6640625" style="1634" customWidth="1"/>
    <col min="13574" max="13574" width="9" style="1634" customWidth="1"/>
    <col min="13575" max="13575" width="11.33203125" style="1634" customWidth="1"/>
    <col min="13576" max="13576" width="59.33203125" style="1634" customWidth="1"/>
    <col min="13577" max="13578" width="15.83203125" style="1634" customWidth="1"/>
    <col min="13579" max="13579" width="29" style="1634" customWidth="1"/>
    <col min="13580" max="13580" width="10.1640625" style="1634" customWidth="1"/>
    <col min="13581" max="13581" width="85.1640625" style="1634" customWidth="1"/>
    <col min="13582" max="13582" width="79.83203125" style="1634" customWidth="1"/>
    <col min="13583" max="13583" width="12.1640625" style="1634" customWidth="1"/>
    <col min="13584" max="13584" width="18.1640625" style="1634" customWidth="1"/>
    <col min="13585" max="13585" width="16.33203125" style="1634" customWidth="1"/>
    <col min="13586" max="13586" width="7.1640625" style="1634" customWidth="1"/>
    <col min="13587" max="13587" width="18.5" style="1634" customWidth="1"/>
    <col min="13588" max="13588" width="9" style="1634" customWidth="1"/>
    <col min="13589" max="13824" width="8.83203125" style="1634" customWidth="1"/>
    <col min="13825" max="13825" width="79.1640625" style="1634" customWidth="1"/>
    <col min="13826" max="13826" width="7.1640625" style="1634" customWidth="1"/>
    <col min="13827" max="13827" width="15.83203125" style="1634" customWidth="1"/>
    <col min="13828" max="13828" width="5.1640625" style="1634" customWidth="1"/>
    <col min="13829" max="13829" width="61.6640625" style="1634" customWidth="1"/>
    <col min="13830" max="13830" width="9" style="1634" customWidth="1"/>
    <col min="13831" max="13831" width="11.33203125" style="1634" customWidth="1"/>
    <col min="13832" max="13832" width="59.33203125" style="1634" customWidth="1"/>
    <col min="13833" max="13834" width="15.83203125" style="1634" customWidth="1"/>
    <col min="13835" max="13835" width="29" style="1634" customWidth="1"/>
    <col min="13836" max="13836" width="10.1640625" style="1634" customWidth="1"/>
    <col min="13837" max="13837" width="85.1640625" style="1634" customWidth="1"/>
    <col min="13838" max="13838" width="79.83203125" style="1634" customWidth="1"/>
    <col min="13839" max="13839" width="12.1640625" style="1634" customWidth="1"/>
    <col min="13840" max="13840" width="18.1640625" style="1634" customWidth="1"/>
    <col min="13841" max="13841" width="16.33203125" style="1634" customWidth="1"/>
    <col min="13842" max="13842" width="7.1640625" style="1634" customWidth="1"/>
    <col min="13843" max="13843" width="18.5" style="1634" customWidth="1"/>
    <col min="13844" max="13844" width="9" style="1634" customWidth="1"/>
    <col min="13845" max="14080" width="8.83203125" style="1634" customWidth="1"/>
    <col min="14081" max="14081" width="79.1640625" style="1634" customWidth="1"/>
    <col min="14082" max="14082" width="7.1640625" style="1634" customWidth="1"/>
    <col min="14083" max="14083" width="15.83203125" style="1634" customWidth="1"/>
    <col min="14084" max="14084" width="5.1640625" style="1634" customWidth="1"/>
    <col min="14085" max="14085" width="61.6640625" style="1634" customWidth="1"/>
    <col min="14086" max="14086" width="9" style="1634" customWidth="1"/>
    <col min="14087" max="14087" width="11.33203125" style="1634" customWidth="1"/>
    <col min="14088" max="14088" width="59.33203125" style="1634" customWidth="1"/>
    <col min="14089" max="14090" width="15.83203125" style="1634" customWidth="1"/>
    <col min="14091" max="14091" width="29" style="1634" customWidth="1"/>
    <col min="14092" max="14092" width="10.1640625" style="1634" customWidth="1"/>
    <col min="14093" max="14093" width="85.1640625" style="1634" customWidth="1"/>
    <col min="14094" max="14094" width="79.83203125" style="1634" customWidth="1"/>
    <col min="14095" max="14095" width="12.1640625" style="1634" customWidth="1"/>
    <col min="14096" max="14096" width="18.1640625" style="1634" customWidth="1"/>
    <col min="14097" max="14097" width="16.33203125" style="1634" customWidth="1"/>
    <col min="14098" max="14098" width="7.1640625" style="1634" customWidth="1"/>
    <col min="14099" max="14099" width="18.5" style="1634" customWidth="1"/>
    <col min="14100" max="14100" width="9" style="1634" customWidth="1"/>
    <col min="14101" max="14336" width="8.83203125" style="1634" customWidth="1"/>
    <col min="14337" max="14337" width="79.1640625" style="1634" customWidth="1"/>
    <col min="14338" max="14338" width="7.1640625" style="1634" customWidth="1"/>
    <col min="14339" max="14339" width="15.83203125" style="1634" customWidth="1"/>
    <col min="14340" max="14340" width="5.1640625" style="1634" customWidth="1"/>
    <col min="14341" max="14341" width="61.6640625" style="1634" customWidth="1"/>
    <col min="14342" max="14342" width="9" style="1634" customWidth="1"/>
    <col min="14343" max="14343" width="11.33203125" style="1634" customWidth="1"/>
    <col min="14344" max="14344" width="59.33203125" style="1634" customWidth="1"/>
    <col min="14345" max="14346" width="15.83203125" style="1634" customWidth="1"/>
    <col min="14347" max="14347" width="29" style="1634" customWidth="1"/>
    <col min="14348" max="14348" width="10.1640625" style="1634" customWidth="1"/>
    <col min="14349" max="14349" width="85.1640625" style="1634" customWidth="1"/>
    <col min="14350" max="14350" width="79.83203125" style="1634" customWidth="1"/>
    <col min="14351" max="14351" width="12.1640625" style="1634" customWidth="1"/>
    <col min="14352" max="14352" width="18.1640625" style="1634" customWidth="1"/>
    <col min="14353" max="14353" width="16.33203125" style="1634" customWidth="1"/>
    <col min="14354" max="14354" width="7.1640625" style="1634" customWidth="1"/>
    <col min="14355" max="14355" width="18.5" style="1634" customWidth="1"/>
    <col min="14356" max="14356" width="9" style="1634" customWidth="1"/>
    <col min="14357" max="14592" width="8.83203125" style="1634" customWidth="1"/>
    <col min="14593" max="14593" width="79.1640625" style="1634" customWidth="1"/>
    <col min="14594" max="14594" width="7.1640625" style="1634" customWidth="1"/>
    <col min="14595" max="14595" width="15.83203125" style="1634" customWidth="1"/>
    <col min="14596" max="14596" width="5.1640625" style="1634" customWidth="1"/>
    <col min="14597" max="14597" width="61.6640625" style="1634" customWidth="1"/>
    <col min="14598" max="14598" width="9" style="1634" customWidth="1"/>
    <col min="14599" max="14599" width="11.33203125" style="1634" customWidth="1"/>
    <col min="14600" max="14600" width="59.33203125" style="1634" customWidth="1"/>
    <col min="14601" max="14602" width="15.83203125" style="1634" customWidth="1"/>
    <col min="14603" max="14603" width="29" style="1634" customWidth="1"/>
    <col min="14604" max="14604" width="10.1640625" style="1634" customWidth="1"/>
    <col min="14605" max="14605" width="85.1640625" style="1634" customWidth="1"/>
    <col min="14606" max="14606" width="79.83203125" style="1634" customWidth="1"/>
    <col min="14607" max="14607" width="12.1640625" style="1634" customWidth="1"/>
    <col min="14608" max="14608" width="18.1640625" style="1634" customWidth="1"/>
    <col min="14609" max="14609" width="16.33203125" style="1634" customWidth="1"/>
    <col min="14610" max="14610" width="7.1640625" style="1634" customWidth="1"/>
    <col min="14611" max="14611" width="18.5" style="1634" customWidth="1"/>
    <col min="14612" max="14612" width="9" style="1634" customWidth="1"/>
    <col min="14613" max="14848" width="8.83203125" style="1634" customWidth="1"/>
    <col min="14849" max="14849" width="79.1640625" style="1634" customWidth="1"/>
    <col min="14850" max="14850" width="7.1640625" style="1634" customWidth="1"/>
    <col min="14851" max="14851" width="15.83203125" style="1634" customWidth="1"/>
    <col min="14852" max="14852" width="5.1640625" style="1634" customWidth="1"/>
    <col min="14853" max="14853" width="61.6640625" style="1634" customWidth="1"/>
    <col min="14854" max="14854" width="9" style="1634" customWidth="1"/>
    <col min="14855" max="14855" width="11.33203125" style="1634" customWidth="1"/>
    <col min="14856" max="14856" width="59.33203125" style="1634" customWidth="1"/>
    <col min="14857" max="14858" width="15.83203125" style="1634" customWidth="1"/>
    <col min="14859" max="14859" width="29" style="1634" customWidth="1"/>
    <col min="14860" max="14860" width="10.1640625" style="1634" customWidth="1"/>
    <col min="14861" max="14861" width="85.1640625" style="1634" customWidth="1"/>
    <col min="14862" max="14862" width="79.83203125" style="1634" customWidth="1"/>
    <col min="14863" max="14863" width="12.1640625" style="1634" customWidth="1"/>
    <col min="14864" max="14864" width="18.1640625" style="1634" customWidth="1"/>
    <col min="14865" max="14865" width="16.33203125" style="1634" customWidth="1"/>
    <col min="14866" max="14866" width="7.1640625" style="1634" customWidth="1"/>
    <col min="14867" max="14867" width="18.5" style="1634" customWidth="1"/>
    <col min="14868" max="14868" width="9" style="1634" customWidth="1"/>
    <col min="14869" max="15104" width="8.83203125" style="1634" customWidth="1"/>
    <col min="15105" max="15105" width="79.1640625" style="1634" customWidth="1"/>
    <col min="15106" max="15106" width="7.1640625" style="1634" customWidth="1"/>
    <col min="15107" max="15107" width="15.83203125" style="1634" customWidth="1"/>
    <col min="15108" max="15108" width="5.1640625" style="1634" customWidth="1"/>
    <col min="15109" max="15109" width="61.6640625" style="1634" customWidth="1"/>
    <col min="15110" max="15110" width="9" style="1634" customWidth="1"/>
    <col min="15111" max="15111" width="11.33203125" style="1634" customWidth="1"/>
    <col min="15112" max="15112" width="59.33203125" style="1634" customWidth="1"/>
    <col min="15113" max="15114" width="15.83203125" style="1634" customWidth="1"/>
    <col min="15115" max="15115" width="29" style="1634" customWidth="1"/>
    <col min="15116" max="15116" width="10.1640625" style="1634" customWidth="1"/>
    <col min="15117" max="15117" width="85.1640625" style="1634" customWidth="1"/>
    <col min="15118" max="15118" width="79.83203125" style="1634" customWidth="1"/>
    <col min="15119" max="15119" width="12.1640625" style="1634" customWidth="1"/>
    <col min="15120" max="15120" width="18.1640625" style="1634" customWidth="1"/>
    <col min="15121" max="15121" width="16.33203125" style="1634" customWidth="1"/>
    <col min="15122" max="15122" width="7.1640625" style="1634" customWidth="1"/>
    <col min="15123" max="15123" width="18.5" style="1634" customWidth="1"/>
    <col min="15124" max="15124" width="9" style="1634" customWidth="1"/>
    <col min="15125" max="15360" width="8.83203125" style="1634" customWidth="1"/>
    <col min="15361" max="15361" width="79.1640625" style="1634" customWidth="1"/>
    <col min="15362" max="15362" width="7.1640625" style="1634" customWidth="1"/>
    <col min="15363" max="15363" width="15.83203125" style="1634" customWidth="1"/>
    <col min="15364" max="15364" width="5.1640625" style="1634" customWidth="1"/>
    <col min="15365" max="15365" width="61.6640625" style="1634" customWidth="1"/>
    <col min="15366" max="15366" width="9" style="1634" customWidth="1"/>
    <col min="15367" max="15367" width="11.33203125" style="1634" customWidth="1"/>
    <col min="15368" max="15368" width="59.33203125" style="1634" customWidth="1"/>
    <col min="15369" max="15370" width="15.83203125" style="1634" customWidth="1"/>
    <col min="15371" max="15371" width="29" style="1634" customWidth="1"/>
    <col min="15372" max="15372" width="10.1640625" style="1634" customWidth="1"/>
    <col min="15373" max="15373" width="85.1640625" style="1634" customWidth="1"/>
    <col min="15374" max="15374" width="79.83203125" style="1634" customWidth="1"/>
    <col min="15375" max="15375" width="12.1640625" style="1634" customWidth="1"/>
    <col min="15376" max="15376" width="18.1640625" style="1634" customWidth="1"/>
    <col min="15377" max="15377" width="16.33203125" style="1634" customWidth="1"/>
    <col min="15378" max="15378" width="7.1640625" style="1634" customWidth="1"/>
    <col min="15379" max="15379" width="18.5" style="1634" customWidth="1"/>
    <col min="15380" max="15380" width="9" style="1634" customWidth="1"/>
    <col min="15381" max="15616" width="8.83203125" style="1634" customWidth="1"/>
    <col min="15617" max="15617" width="79.1640625" style="1634" customWidth="1"/>
    <col min="15618" max="15618" width="7.1640625" style="1634" customWidth="1"/>
    <col min="15619" max="15619" width="15.83203125" style="1634" customWidth="1"/>
    <col min="15620" max="15620" width="5.1640625" style="1634" customWidth="1"/>
    <col min="15621" max="15621" width="61.6640625" style="1634" customWidth="1"/>
    <col min="15622" max="15622" width="9" style="1634" customWidth="1"/>
    <col min="15623" max="15623" width="11.33203125" style="1634" customWidth="1"/>
    <col min="15624" max="15624" width="59.33203125" style="1634" customWidth="1"/>
    <col min="15625" max="15626" width="15.83203125" style="1634" customWidth="1"/>
    <col min="15627" max="15627" width="29" style="1634" customWidth="1"/>
    <col min="15628" max="15628" width="10.1640625" style="1634" customWidth="1"/>
    <col min="15629" max="15629" width="85.1640625" style="1634" customWidth="1"/>
    <col min="15630" max="15630" width="79.83203125" style="1634" customWidth="1"/>
    <col min="15631" max="15631" width="12.1640625" style="1634" customWidth="1"/>
    <col min="15632" max="15632" width="18.1640625" style="1634" customWidth="1"/>
    <col min="15633" max="15633" width="16.33203125" style="1634" customWidth="1"/>
    <col min="15634" max="15634" width="7.1640625" style="1634" customWidth="1"/>
    <col min="15635" max="15635" width="18.5" style="1634" customWidth="1"/>
    <col min="15636" max="15636" width="9" style="1634" customWidth="1"/>
    <col min="15637" max="15872" width="8.83203125" style="1634" customWidth="1"/>
    <col min="15873" max="15873" width="79.1640625" style="1634" customWidth="1"/>
    <col min="15874" max="15874" width="7.1640625" style="1634" customWidth="1"/>
    <col min="15875" max="15875" width="15.83203125" style="1634" customWidth="1"/>
    <col min="15876" max="15876" width="5.1640625" style="1634" customWidth="1"/>
    <col min="15877" max="15877" width="61.6640625" style="1634" customWidth="1"/>
    <col min="15878" max="15878" width="9" style="1634" customWidth="1"/>
    <col min="15879" max="15879" width="11.33203125" style="1634" customWidth="1"/>
    <col min="15880" max="15880" width="59.33203125" style="1634" customWidth="1"/>
    <col min="15881" max="15882" width="15.83203125" style="1634" customWidth="1"/>
    <col min="15883" max="15883" width="29" style="1634" customWidth="1"/>
    <col min="15884" max="15884" width="10.1640625" style="1634" customWidth="1"/>
    <col min="15885" max="15885" width="85.1640625" style="1634" customWidth="1"/>
    <col min="15886" max="15886" width="79.83203125" style="1634" customWidth="1"/>
    <col min="15887" max="15887" width="12.1640625" style="1634" customWidth="1"/>
    <col min="15888" max="15888" width="18.1640625" style="1634" customWidth="1"/>
    <col min="15889" max="15889" width="16.33203125" style="1634" customWidth="1"/>
    <col min="15890" max="15890" width="7.1640625" style="1634" customWidth="1"/>
    <col min="15891" max="15891" width="18.5" style="1634" customWidth="1"/>
    <col min="15892" max="15892" width="9" style="1634" customWidth="1"/>
    <col min="15893" max="16128" width="8.83203125" style="1634" customWidth="1"/>
    <col min="16129" max="16129" width="79.1640625" style="1634" customWidth="1"/>
    <col min="16130" max="16130" width="7.1640625" style="1634" customWidth="1"/>
    <col min="16131" max="16131" width="15.83203125" style="1634" customWidth="1"/>
    <col min="16132" max="16132" width="5.1640625" style="1634" customWidth="1"/>
    <col min="16133" max="16133" width="61.6640625" style="1634" customWidth="1"/>
    <col min="16134" max="16134" width="9" style="1634" customWidth="1"/>
    <col min="16135" max="16135" width="11.33203125" style="1634" customWidth="1"/>
    <col min="16136" max="16136" width="59.33203125" style="1634" customWidth="1"/>
    <col min="16137" max="16138" width="15.83203125" style="1634" customWidth="1"/>
    <col min="16139" max="16139" width="29" style="1634" customWidth="1"/>
    <col min="16140" max="16140" width="10.1640625" style="1634" customWidth="1"/>
    <col min="16141" max="16141" width="85.1640625" style="1634" customWidth="1"/>
    <col min="16142" max="16142" width="79.83203125" style="1634" customWidth="1"/>
    <col min="16143" max="16143" width="12.1640625" style="1634" customWidth="1"/>
    <col min="16144" max="16144" width="18.1640625" style="1634" customWidth="1"/>
    <col min="16145" max="16145" width="16.33203125" style="1634" customWidth="1"/>
    <col min="16146" max="16146" width="7.1640625" style="1634" customWidth="1"/>
    <col min="16147" max="16147" width="18.5" style="1634" customWidth="1"/>
    <col min="16148" max="16148" width="9" style="1634" customWidth="1"/>
    <col min="16149" max="16384" width="8.83203125" style="1634" customWidth="1"/>
  </cols>
  <sheetData>
    <row r="1" spans="1:22">
      <c r="A1" s="1634" t="s">
        <v>3179</v>
      </c>
      <c r="B1" s="1634" t="s">
        <v>3180</v>
      </c>
      <c r="C1" s="1634" t="s">
        <v>3181</v>
      </c>
      <c r="D1" s="1634" t="s">
        <v>3182</v>
      </c>
      <c r="E1" s="1634" t="s">
        <v>3183</v>
      </c>
      <c r="F1" s="1634" t="s">
        <v>3184</v>
      </c>
      <c r="G1" s="1634" t="s">
        <v>3185</v>
      </c>
      <c r="H1" s="1634" t="s">
        <v>3186</v>
      </c>
      <c r="I1" s="1634" t="s">
        <v>3187</v>
      </c>
      <c r="J1" s="1634" t="s">
        <v>3188</v>
      </c>
      <c r="K1" s="1634" t="s">
        <v>3133</v>
      </c>
      <c r="L1" s="1634" t="s">
        <v>3189</v>
      </c>
      <c r="M1" s="1634" t="s">
        <v>3190</v>
      </c>
      <c r="N1" s="1634" t="s">
        <v>3191</v>
      </c>
      <c r="O1" s="1634" t="s">
        <v>3192</v>
      </c>
      <c r="P1" s="1634" t="s">
        <v>3193</v>
      </c>
      <c r="Q1" s="1634" t="s">
        <v>3194</v>
      </c>
      <c r="R1" s="1634" t="s">
        <v>3195</v>
      </c>
      <c r="S1" s="1634" t="s">
        <v>3196</v>
      </c>
      <c r="T1" s="1634" t="s">
        <v>3197</v>
      </c>
      <c r="V1" s="2988" t="s">
        <v>3401</v>
      </c>
    </row>
    <row r="2" spans="1:22">
      <c r="A2" s="1634" t="s">
        <v>3198</v>
      </c>
      <c r="B2" s="1634" t="s">
        <v>3199</v>
      </c>
      <c r="C2" s="1634" t="s">
        <v>3077</v>
      </c>
      <c r="D2" s="1634" t="s">
        <v>1326</v>
      </c>
      <c r="E2" s="1634" t="s">
        <v>3198</v>
      </c>
      <c r="F2" s="1634" t="s">
        <v>3200</v>
      </c>
      <c r="G2" s="1634" t="s">
        <v>3201</v>
      </c>
      <c r="H2" s="1634" t="s">
        <v>3061</v>
      </c>
      <c r="I2" s="1634">
        <v>65979.3</v>
      </c>
      <c r="J2" s="1634">
        <v>118762.74</v>
      </c>
      <c r="K2" s="1634" t="s">
        <v>3202</v>
      </c>
      <c r="L2" s="1634" t="s">
        <v>3203</v>
      </c>
      <c r="M2" s="1634" t="s">
        <v>3204</v>
      </c>
      <c r="N2" s="1634" t="s">
        <v>3205</v>
      </c>
      <c r="O2" s="1634">
        <v>65910</v>
      </c>
      <c r="P2" s="1634">
        <v>665.97</v>
      </c>
      <c r="Q2" s="1634">
        <v>5549.72</v>
      </c>
      <c r="R2" s="1634">
        <v>10.08</v>
      </c>
      <c r="S2" s="1634" t="s">
        <v>3206</v>
      </c>
      <c r="T2" s="1634" t="s">
        <v>3207</v>
      </c>
      <c r="V2" s="1634">
        <f>ROUNDDOWN(O2/I2*10000,0)</f>
        <v>9989</v>
      </c>
    </row>
    <row r="3" spans="1:22">
      <c r="A3" s="1634" t="s">
        <v>3208</v>
      </c>
      <c r="B3" s="1634" t="s">
        <v>3199</v>
      </c>
      <c r="C3" s="1634" t="s">
        <v>3077</v>
      </c>
      <c r="D3" s="1634" t="s">
        <v>1326</v>
      </c>
      <c r="E3" s="1634" t="s">
        <v>3208</v>
      </c>
      <c r="F3" s="1634" t="s">
        <v>3200</v>
      </c>
      <c r="G3" s="1634" t="s">
        <v>3209</v>
      </c>
      <c r="H3" s="1634" t="s">
        <v>3061</v>
      </c>
      <c r="I3" s="1634">
        <v>40000</v>
      </c>
      <c r="J3" s="1634">
        <v>72000</v>
      </c>
      <c r="K3" s="1634" t="s">
        <v>3202</v>
      </c>
      <c r="L3" s="1634" t="s">
        <v>3203</v>
      </c>
      <c r="M3" s="1634" t="s">
        <v>3204</v>
      </c>
      <c r="N3" s="1634" t="s">
        <v>3210</v>
      </c>
      <c r="O3" s="1634">
        <v>41220</v>
      </c>
      <c r="P3" s="1634">
        <v>687</v>
      </c>
      <c r="Q3" s="1634">
        <v>5725</v>
      </c>
      <c r="R3" s="1634">
        <v>14.5</v>
      </c>
      <c r="S3" s="1634" t="s">
        <v>3206</v>
      </c>
      <c r="T3" s="1634" t="s">
        <v>3207</v>
      </c>
      <c r="V3" s="1634">
        <f t="shared" ref="V3:V48" si="0">ROUNDDOWN(O3/I3*10000,0)</f>
        <v>10305</v>
      </c>
    </row>
    <row r="4" spans="1:22">
      <c r="A4" s="1634" t="s">
        <v>3211</v>
      </c>
      <c r="B4" s="1634" t="s">
        <v>3199</v>
      </c>
      <c r="C4" s="1634" t="s">
        <v>3077</v>
      </c>
      <c r="D4" s="1634" t="s">
        <v>1326</v>
      </c>
      <c r="E4" s="1634" t="s">
        <v>3211</v>
      </c>
      <c r="F4" s="1634" t="s">
        <v>3200</v>
      </c>
      <c r="G4" s="1634" t="s">
        <v>3212</v>
      </c>
      <c r="H4" s="1634" t="s">
        <v>3061</v>
      </c>
      <c r="I4" s="1634">
        <v>50910.55</v>
      </c>
      <c r="J4" s="1634">
        <v>91638.98</v>
      </c>
      <c r="K4" s="1634" t="s">
        <v>3202</v>
      </c>
      <c r="L4" s="1634" t="s">
        <v>3203</v>
      </c>
      <c r="M4" s="1634" t="s">
        <v>3204</v>
      </c>
      <c r="N4" s="1634" t="s">
        <v>3205</v>
      </c>
      <c r="O4" s="1634">
        <v>51850</v>
      </c>
      <c r="P4" s="1634">
        <v>678.97</v>
      </c>
      <c r="Q4" s="1634">
        <v>5658.06</v>
      </c>
      <c r="R4" s="1634">
        <v>10.41</v>
      </c>
      <c r="S4" s="1634" t="s">
        <v>3206</v>
      </c>
      <c r="T4" s="1634" t="s">
        <v>3207</v>
      </c>
      <c r="V4" s="1634">
        <f t="shared" si="0"/>
        <v>10184</v>
      </c>
    </row>
    <row r="5" spans="1:22" s="2986" customFormat="1">
      <c r="A5" s="2986" t="s">
        <v>3213</v>
      </c>
      <c r="B5" s="2986" t="s">
        <v>3199</v>
      </c>
      <c r="C5" s="2986" t="s">
        <v>3077</v>
      </c>
      <c r="D5" s="2986" t="s">
        <v>1326</v>
      </c>
      <c r="E5" s="2986" t="s">
        <v>3213</v>
      </c>
      <c r="F5" s="2986" t="s">
        <v>3200</v>
      </c>
      <c r="G5" s="2986" t="s">
        <v>3214</v>
      </c>
      <c r="H5" s="2986" t="s">
        <v>3061</v>
      </c>
      <c r="I5" s="2986">
        <v>53404</v>
      </c>
      <c r="J5" s="2986">
        <v>106808</v>
      </c>
      <c r="K5" s="2986" t="s">
        <v>3215</v>
      </c>
      <c r="L5" s="2986" t="s">
        <v>3203</v>
      </c>
      <c r="M5" s="2986" t="s">
        <v>3204</v>
      </c>
      <c r="N5" s="2986" t="s">
        <v>3216</v>
      </c>
      <c r="O5" s="2986">
        <v>51668</v>
      </c>
      <c r="P5" s="2986">
        <v>645</v>
      </c>
      <c r="Q5" s="2986">
        <v>4837.47</v>
      </c>
      <c r="R5" s="2986" t="s">
        <v>1326</v>
      </c>
      <c r="S5" s="2986" t="s">
        <v>3206</v>
      </c>
      <c r="T5" s="2986" t="s">
        <v>3207</v>
      </c>
      <c r="V5" s="2986">
        <f t="shared" si="0"/>
        <v>9674</v>
      </c>
    </row>
    <row r="6" spans="1:22">
      <c r="A6" s="1634" t="s">
        <v>3217</v>
      </c>
      <c r="B6" s="1634" t="s">
        <v>3199</v>
      </c>
      <c r="C6" s="1634" t="s">
        <v>3077</v>
      </c>
      <c r="D6" s="1634" t="s">
        <v>1326</v>
      </c>
      <c r="E6" s="1634" t="s">
        <v>3218</v>
      </c>
      <c r="F6" s="1634" t="s">
        <v>3219</v>
      </c>
      <c r="G6" s="1634" t="s">
        <v>3220</v>
      </c>
      <c r="H6" s="1634" t="s">
        <v>3077</v>
      </c>
      <c r="I6" s="1634">
        <v>53565.68</v>
      </c>
      <c r="J6" s="1634">
        <v>133914.20000000001</v>
      </c>
      <c r="K6" s="1634" t="s">
        <v>3221</v>
      </c>
      <c r="L6" s="1634" t="s">
        <v>3203</v>
      </c>
      <c r="M6" s="1634" t="s">
        <v>3204</v>
      </c>
      <c r="N6" s="1634" t="s">
        <v>3222</v>
      </c>
      <c r="O6" s="1634">
        <v>73435</v>
      </c>
      <c r="P6" s="1634">
        <v>913.96</v>
      </c>
      <c r="Q6" s="1634">
        <v>5483.73</v>
      </c>
      <c r="R6" s="1634">
        <v>48.62</v>
      </c>
      <c r="S6" s="1634" t="s">
        <v>3206</v>
      </c>
      <c r="T6" s="1634" t="s">
        <v>3207</v>
      </c>
      <c r="V6" s="1634">
        <f t="shared" si="0"/>
        <v>13709</v>
      </c>
    </row>
    <row r="7" spans="1:22" s="2986" customFormat="1">
      <c r="A7" s="2986" t="s">
        <v>3223</v>
      </c>
      <c r="B7" s="2986" t="s">
        <v>3199</v>
      </c>
      <c r="C7" s="2986" t="s">
        <v>3077</v>
      </c>
      <c r="D7" s="2986" t="s">
        <v>1326</v>
      </c>
      <c r="E7" s="2986" t="s">
        <v>3223</v>
      </c>
      <c r="F7" s="2986" t="s">
        <v>3219</v>
      </c>
      <c r="G7" s="2986" t="s">
        <v>3224</v>
      </c>
      <c r="H7" s="2986" t="s">
        <v>3061</v>
      </c>
      <c r="I7" s="2986">
        <v>69928</v>
      </c>
      <c r="J7" s="2986">
        <v>153841.60000000001</v>
      </c>
      <c r="K7" s="2986" t="s">
        <v>3225</v>
      </c>
      <c r="L7" s="2986" t="s">
        <v>3226</v>
      </c>
      <c r="M7" s="2986" t="s">
        <v>3227</v>
      </c>
      <c r="N7" s="2986" t="s">
        <v>3228</v>
      </c>
      <c r="O7" s="2986">
        <v>63459.66</v>
      </c>
      <c r="P7" s="2986">
        <v>605</v>
      </c>
      <c r="Q7" s="2986">
        <v>4125</v>
      </c>
      <c r="R7" s="2986">
        <v>18.63</v>
      </c>
      <c r="S7" s="2986" t="s">
        <v>3206</v>
      </c>
      <c r="T7" s="2986" t="s">
        <v>3229</v>
      </c>
      <c r="V7" s="2986">
        <f t="shared" si="0"/>
        <v>9075</v>
      </c>
    </row>
    <row r="8" spans="1:22">
      <c r="A8" s="1634" t="s">
        <v>3230</v>
      </c>
      <c r="B8" s="1634" t="s">
        <v>3199</v>
      </c>
      <c r="C8" s="1634" t="s">
        <v>3077</v>
      </c>
      <c r="D8" s="1634" t="s">
        <v>1326</v>
      </c>
      <c r="E8" s="1634" t="s">
        <v>3230</v>
      </c>
      <c r="F8" s="1634" t="s">
        <v>3219</v>
      </c>
      <c r="G8" s="1634" t="s">
        <v>3231</v>
      </c>
      <c r="H8" s="1634" t="s">
        <v>3061</v>
      </c>
      <c r="I8" s="1634">
        <v>45330</v>
      </c>
      <c r="J8" s="1634">
        <v>81594</v>
      </c>
      <c r="K8" s="1634" t="s">
        <v>3202</v>
      </c>
      <c r="L8" s="1634" t="s">
        <v>3226</v>
      </c>
      <c r="M8" s="1634" t="s">
        <v>3227</v>
      </c>
      <c r="N8" s="1634" t="s">
        <v>3232</v>
      </c>
      <c r="O8" s="1634">
        <v>49024.4</v>
      </c>
      <c r="P8" s="1634">
        <v>721</v>
      </c>
      <c r="Q8" s="1634">
        <v>6008.32</v>
      </c>
      <c r="R8" s="1634">
        <v>20.170000000000002</v>
      </c>
      <c r="S8" s="1634" t="s">
        <v>3206</v>
      </c>
      <c r="T8" s="1634" t="s">
        <v>3207</v>
      </c>
      <c r="V8" s="1634">
        <f t="shared" si="0"/>
        <v>10815</v>
      </c>
    </row>
    <row r="9" spans="1:22">
      <c r="A9" s="1634" t="s">
        <v>3233</v>
      </c>
      <c r="B9" s="1634" t="s">
        <v>3199</v>
      </c>
      <c r="C9" s="1634" t="s">
        <v>3077</v>
      </c>
      <c r="D9" s="1634" t="s">
        <v>1326</v>
      </c>
      <c r="E9" s="1634" t="s">
        <v>3233</v>
      </c>
      <c r="F9" s="1634" t="s">
        <v>3219</v>
      </c>
      <c r="G9" s="1634" t="s">
        <v>3234</v>
      </c>
      <c r="H9" s="1634" t="s">
        <v>3061</v>
      </c>
      <c r="I9" s="1634">
        <v>57345</v>
      </c>
      <c r="J9" s="1634">
        <v>114690</v>
      </c>
      <c r="K9" s="1634" t="s">
        <v>3215</v>
      </c>
      <c r="L9" s="1634" t="s">
        <v>3226</v>
      </c>
      <c r="M9" s="1634" t="s">
        <v>3227</v>
      </c>
      <c r="N9" s="1634" t="s">
        <v>3235</v>
      </c>
      <c r="O9" s="1634">
        <v>59542.55</v>
      </c>
      <c r="P9" s="1634">
        <v>692.21</v>
      </c>
      <c r="Q9" s="1634">
        <v>5191.6000000000004</v>
      </c>
      <c r="R9" s="1634">
        <v>12.68</v>
      </c>
      <c r="S9" s="1634" t="s">
        <v>3206</v>
      </c>
      <c r="T9" s="1634" t="s">
        <v>3236</v>
      </c>
      <c r="V9" s="1634">
        <f t="shared" si="0"/>
        <v>10383</v>
      </c>
    </row>
    <row r="10" spans="1:22">
      <c r="A10" s="1634" t="s">
        <v>3237</v>
      </c>
      <c r="B10" s="1634" t="s">
        <v>3199</v>
      </c>
      <c r="C10" s="1634" t="s">
        <v>3077</v>
      </c>
      <c r="D10" s="1634" t="s">
        <v>1326</v>
      </c>
      <c r="E10" s="1634" t="s">
        <v>3237</v>
      </c>
      <c r="F10" s="1634" t="s">
        <v>3200</v>
      </c>
      <c r="G10" s="1634" t="s">
        <v>3238</v>
      </c>
      <c r="H10" s="1634" t="s">
        <v>3061</v>
      </c>
      <c r="I10" s="1634">
        <v>392</v>
      </c>
      <c r="J10" s="1634">
        <v>1372.07</v>
      </c>
      <c r="K10" s="1634" t="s">
        <v>3239</v>
      </c>
      <c r="L10" s="1634" t="s">
        <v>3240</v>
      </c>
      <c r="M10" s="1634" t="s">
        <v>3241</v>
      </c>
      <c r="N10" s="1634" t="s">
        <v>3242</v>
      </c>
      <c r="O10" s="1634">
        <v>406</v>
      </c>
      <c r="P10" s="1634">
        <v>690.48</v>
      </c>
      <c r="Q10" s="1634">
        <v>2959.03</v>
      </c>
      <c r="R10" s="1634">
        <v>7.0000000000000007E-2</v>
      </c>
      <c r="S10" s="1634" t="s">
        <v>3206</v>
      </c>
      <c r="T10" s="1634" t="s">
        <v>3243</v>
      </c>
      <c r="V10" s="1634">
        <f t="shared" si="0"/>
        <v>10357</v>
      </c>
    </row>
    <row r="11" spans="1:22">
      <c r="A11" s="1634" t="s">
        <v>3244</v>
      </c>
      <c r="B11" s="1634" t="s">
        <v>3199</v>
      </c>
      <c r="C11" s="1634" t="s">
        <v>3077</v>
      </c>
      <c r="D11" s="1634" t="s">
        <v>1326</v>
      </c>
      <c r="E11" s="1634" t="s">
        <v>3244</v>
      </c>
      <c r="F11" s="1634" t="s">
        <v>3219</v>
      </c>
      <c r="G11" s="1634" t="s">
        <v>3245</v>
      </c>
      <c r="H11" s="1634" t="s">
        <v>3061</v>
      </c>
      <c r="I11" s="1634">
        <v>69838</v>
      </c>
      <c r="J11" s="1634">
        <v>174595</v>
      </c>
      <c r="K11" s="1634" t="s">
        <v>3246</v>
      </c>
      <c r="L11" s="1634" t="s">
        <v>3240</v>
      </c>
      <c r="M11" s="1634" t="s">
        <v>3247</v>
      </c>
      <c r="N11" s="1634" t="s">
        <v>3242</v>
      </c>
      <c r="O11" s="1634">
        <v>44207.44</v>
      </c>
      <c r="P11" s="1634">
        <v>422</v>
      </c>
      <c r="Q11" s="1634">
        <v>2532</v>
      </c>
      <c r="R11" s="1634">
        <v>0</v>
      </c>
      <c r="S11" s="1634" t="s">
        <v>3206</v>
      </c>
      <c r="T11" s="1634" t="s">
        <v>3236</v>
      </c>
      <c r="V11" s="1634">
        <f t="shared" si="0"/>
        <v>6329</v>
      </c>
    </row>
    <row r="12" spans="1:22">
      <c r="A12" s="1634" t="s">
        <v>3248</v>
      </c>
      <c r="B12" s="1634" t="s">
        <v>3199</v>
      </c>
      <c r="C12" s="1634" t="s">
        <v>3077</v>
      </c>
      <c r="D12" s="1634" t="s">
        <v>1326</v>
      </c>
      <c r="E12" s="1634" t="s">
        <v>3248</v>
      </c>
      <c r="F12" s="1634" t="s">
        <v>3200</v>
      </c>
      <c r="G12" s="1634" t="s">
        <v>3249</v>
      </c>
      <c r="H12" s="1634" t="s">
        <v>3061</v>
      </c>
      <c r="I12" s="1634">
        <v>9558</v>
      </c>
      <c r="J12" s="1634">
        <v>53586.51</v>
      </c>
      <c r="K12" s="1634" t="s">
        <v>3239</v>
      </c>
      <c r="L12" s="1634" t="s">
        <v>3240</v>
      </c>
      <c r="M12" s="1634" t="s">
        <v>3247</v>
      </c>
      <c r="N12" s="1634" t="s">
        <v>3242</v>
      </c>
      <c r="O12" s="1634">
        <v>8731.2199999999993</v>
      </c>
      <c r="P12" s="1634">
        <v>609</v>
      </c>
      <c r="Q12" s="1634">
        <v>1629.36</v>
      </c>
      <c r="R12" s="1634">
        <v>0</v>
      </c>
      <c r="S12" s="1634" t="s">
        <v>3206</v>
      </c>
      <c r="T12" s="1634" t="s">
        <v>3243</v>
      </c>
      <c r="V12" s="1634">
        <f t="shared" si="0"/>
        <v>9134</v>
      </c>
    </row>
    <row r="13" spans="1:22">
      <c r="A13" s="1634" t="s">
        <v>3250</v>
      </c>
      <c r="B13" s="1634" t="s">
        <v>3199</v>
      </c>
      <c r="C13" s="1634" t="s">
        <v>3077</v>
      </c>
      <c r="D13" s="1634" t="s">
        <v>1326</v>
      </c>
      <c r="E13" s="1634" t="s">
        <v>3250</v>
      </c>
      <c r="F13" s="1634" t="s">
        <v>3200</v>
      </c>
      <c r="G13" s="1634" t="s">
        <v>3251</v>
      </c>
      <c r="H13" s="1634" t="s">
        <v>3061</v>
      </c>
      <c r="I13" s="1634">
        <v>53335</v>
      </c>
      <c r="J13" s="1634">
        <v>96003</v>
      </c>
      <c r="K13" s="1634" t="s">
        <v>3202</v>
      </c>
      <c r="L13" s="1634" t="s">
        <v>3252</v>
      </c>
      <c r="M13" s="1634" t="s">
        <v>3253</v>
      </c>
      <c r="N13" s="1634" t="s">
        <v>3254</v>
      </c>
      <c r="O13" s="1634">
        <v>33601.050000000003</v>
      </c>
      <c r="P13" s="1634">
        <v>420</v>
      </c>
      <c r="Q13" s="1634">
        <v>3500</v>
      </c>
      <c r="R13" s="1634">
        <v>0</v>
      </c>
      <c r="S13" s="1634" t="s">
        <v>3206</v>
      </c>
      <c r="T13" s="1634" t="s">
        <v>3255</v>
      </c>
      <c r="V13" s="1634">
        <f t="shared" si="0"/>
        <v>6300</v>
      </c>
    </row>
    <row r="14" spans="1:22">
      <c r="A14" s="1634" t="s">
        <v>3256</v>
      </c>
      <c r="B14" s="1634" t="s">
        <v>3199</v>
      </c>
      <c r="C14" s="1634" t="s">
        <v>3077</v>
      </c>
      <c r="D14" s="1634" t="s">
        <v>1326</v>
      </c>
      <c r="E14" s="1634" t="s">
        <v>3256</v>
      </c>
      <c r="F14" s="1634" t="s">
        <v>3219</v>
      </c>
      <c r="G14" s="1634" t="s">
        <v>3257</v>
      </c>
      <c r="H14" s="1634" t="s">
        <v>3061</v>
      </c>
      <c r="I14" s="1634">
        <v>46147</v>
      </c>
      <c r="J14" s="1634">
        <v>83064.600000000006</v>
      </c>
      <c r="K14" s="1634" t="s">
        <v>3202</v>
      </c>
      <c r="L14" s="1634" t="s">
        <v>3252</v>
      </c>
      <c r="M14" s="1634" t="s">
        <v>3253</v>
      </c>
      <c r="N14" s="1634" t="s">
        <v>3258</v>
      </c>
      <c r="O14" s="1634">
        <v>29072.61</v>
      </c>
      <c r="P14" s="1634">
        <v>420</v>
      </c>
      <c r="Q14" s="1634">
        <v>3500</v>
      </c>
      <c r="R14" s="1634">
        <v>0</v>
      </c>
      <c r="S14" s="1634" t="s">
        <v>3206</v>
      </c>
      <c r="T14" s="1634" t="s">
        <v>3255</v>
      </c>
      <c r="V14" s="1634">
        <f t="shared" si="0"/>
        <v>6300</v>
      </c>
    </row>
    <row r="15" spans="1:22">
      <c r="A15" s="1634" t="s">
        <v>3259</v>
      </c>
      <c r="B15" s="1634" t="s">
        <v>3199</v>
      </c>
      <c r="C15" s="1634" t="s">
        <v>3260</v>
      </c>
      <c r="D15" s="1634" t="s">
        <v>1326</v>
      </c>
      <c r="E15" s="1634" t="s">
        <v>3259</v>
      </c>
      <c r="F15" s="1634" t="s">
        <v>3200</v>
      </c>
      <c r="G15" s="1634" t="s">
        <v>3257</v>
      </c>
      <c r="H15" s="1634" t="s">
        <v>3261</v>
      </c>
      <c r="I15" s="1634">
        <v>46149.31</v>
      </c>
      <c r="J15" s="1634">
        <v>83068.75</v>
      </c>
      <c r="K15" s="1634" t="s">
        <v>3262</v>
      </c>
      <c r="L15" s="1634" t="s">
        <v>3252</v>
      </c>
      <c r="M15" s="1634" t="s">
        <v>3263</v>
      </c>
      <c r="N15" s="1634" t="s">
        <v>3254</v>
      </c>
      <c r="O15" s="1634">
        <v>29072.61</v>
      </c>
      <c r="P15" s="1634">
        <v>419.98</v>
      </c>
      <c r="Q15" s="1634">
        <v>3499.82</v>
      </c>
      <c r="R15" s="1634">
        <v>0</v>
      </c>
      <c r="S15" s="1634" t="s">
        <v>3264</v>
      </c>
      <c r="T15" s="1634" t="s">
        <v>3255</v>
      </c>
      <c r="V15" s="1634">
        <f t="shared" si="0"/>
        <v>6299</v>
      </c>
    </row>
    <row r="16" spans="1:22">
      <c r="A16" s="1634" t="s">
        <v>3265</v>
      </c>
      <c r="B16" s="1634" t="s">
        <v>3199</v>
      </c>
      <c r="C16" s="1634" t="s">
        <v>3077</v>
      </c>
      <c r="D16" s="1634" t="s">
        <v>1326</v>
      </c>
      <c r="E16" s="1634" t="s">
        <v>3265</v>
      </c>
      <c r="F16" s="1634" t="s">
        <v>3219</v>
      </c>
      <c r="G16" s="1634" t="s">
        <v>3266</v>
      </c>
      <c r="H16" s="1634" t="s">
        <v>3061</v>
      </c>
      <c r="I16" s="1634">
        <v>66665</v>
      </c>
      <c r="J16" s="1634">
        <v>146663</v>
      </c>
      <c r="K16" s="1634" t="s">
        <v>3267</v>
      </c>
      <c r="L16" s="1634" t="s">
        <v>3268</v>
      </c>
      <c r="M16" s="1634" t="s">
        <v>3269</v>
      </c>
      <c r="N16" s="1634" t="s">
        <v>3270</v>
      </c>
      <c r="O16" s="1634">
        <v>28100</v>
      </c>
      <c r="P16" s="1634">
        <v>281.01</v>
      </c>
      <c r="Q16" s="1634">
        <v>1915.96</v>
      </c>
      <c r="R16" s="1634">
        <v>0.36</v>
      </c>
      <c r="S16" s="1634" t="s">
        <v>3206</v>
      </c>
      <c r="T16" s="1634" t="s">
        <v>3236</v>
      </c>
      <c r="V16" s="1634">
        <f t="shared" si="0"/>
        <v>4215</v>
      </c>
    </row>
    <row r="17" spans="1:22">
      <c r="A17" s="1634" t="s">
        <v>3271</v>
      </c>
      <c r="B17" s="1634" t="s">
        <v>3199</v>
      </c>
      <c r="C17" s="1634" t="s">
        <v>3077</v>
      </c>
      <c r="D17" s="1634" t="s">
        <v>1326</v>
      </c>
      <c r="E17" s="1634" t="s">
        <v>3271</v>
      </c>
      <c r="F17" s="1634" t="s">
        <v>3219</v>
      </c>
      <c r="G17" s="1634" t="s">
        <v>3272</v>
      </c>
      <c r="H17" s="1634" t="s">
        <v>3061</v>
      </c>
      <c r="I17" s="1634">
        <v>13331</v>
      </c>
      <c r="J17" s="1634">
        <v>29328.2</v>
      </c>
      <c r="K17" s="1634" t="s">
        <v>3273</v>
      </c>
      <c r="L17" s="1634" t="s">
        <v>3274</v>
      </c>
      <c r="M17" s="1634" t="s">
        <v>3275</v>
      </c>
      <c r="N17" s="1634" t="s">
        <v>3276</v>
      </c>
      <c r="O17" s="1634">
        <v>18540</v>
      </c>
      <c r="P17" s="1634">
        <v>927.16</v>
      </c>
      <c r="Q17" s="1634">
        <v>6321.56</v>
      </c>
      <c r="R17" s="1634">
        <v>54.5</v>
      </c>
      <c r="S17" s="1634" t="s">
        <v>3206</v>
      </c>
      <c r="T17" s="1634" t="s">
        <v>3229</v>
      </c>
      <c r="V17" s="1634">
        <f t="shared" si="0"/>
        <v>13907</v>
      </c>
    </row>
    <row r="18" spans="1:22">
      <c r="A18" s="1634" t="s">
        <v>3277</v>
      </c>
      <c r="B18" s="1634" t="s">
        <v>3199</v>
      </c>
      <c r="C18" s="1634" t="s">
        <v>3077</v>
      </c>
      <c r="D18" s="1634" t="s">
        <v>1326</v>
      </c>
      <c r="E18" s="1634" t="s">
        <v>3277</v>
      </c>
      <c r="F18" s="1634" t="s">
        <v>3219</v>
      </c>
      <c r="G18" s="1634" t="s">
        <v>3278</v>
      </c>
      <c r="H18" s="1634" t="s">
        <v>3061</v>
      </c>
      <c r="I18" s="1634">
        <v>52896</v>
      </c>
      <c r="J18" s="1634">
        <v>105792</v>
      </c>
      <c r="K18" s="1634" t="s">
        <v>3215</v>
      </c>
      <c r="L18" s="1634" t="s">
        <v>3279</v>
      </c>
      <c r="M18" s="1634" t="s">
        <v>3280</v>
      </c>
      <c r="N18" s="1634" t="s">
        <v>3281</v>
      </c>
      <c r="O18" s="1634">
        <v>78233.19</v>
      </c>
      <c r="P18" s="1634">
        <v>986</v>
      </c>
      <c r="Q18" s="1634">
        <v>7395</v>
      </c>
      <c r="R18" s="1634">
        <v>64.33</v>
      </c>
      <c r="S18" s="1634" t="s">
        <v>3206</v>
      </c>
      <c r="T18" s="1634" t="s">
        <v>3207</v>
      </c>
      <c r="V18" s="1634">
        <f t="shared" si="0"/>
        <v>14790</v>
      </c>
    </row>
    <row r="19" spans="1:22">
      <c r="A19" s="1634" t="s">
        <v>3282</v>
      </c>
      <c r="B19" s="1634" t="s">
        <v>3199</v>
      </c>
      <c r="C19" s="1634" t="s">
        <v>3077</v>
      </c>
      <c r="D19" s="1634" t="s">
        <v>1326</v>
      </c>
      <c r="E19" s="1634" t="s">
        <v>3282</v>
      </c>
      <c r="F19" s="1634" t="s">
        <v>3219</v>
      </c>
      <c r="G19" s="1634" t="s">
        <v>3283</v>
      </c>
      <c r="H19" s="1634" t="s">
        <v>3061</v>
      </c>
      <c r="I19" s="1634">
        <v>42301</v>
      </c>
      <c r="J19" s="1634">
        <v>84602</v>
      </c>
      <c r="K19" s="1634" t="s">
        <v>3215</v>
      </c>
      <c r="L19" s="1634" t="s">
        <v>3279</v>
      </c>
      <c r="M19" s="1634" t="s">
        <v>3280</v>
      </c>
      <c r="N19" s="1634" t="s">
        <v>3281</v>
      </c>
      <c r="O19" s="1634">
        <v>62880.44</v>
      </c>
      <c r="P19" s="1634">
        <v>991</v>
      </c>
      <c r="Q19" s="1634">
        <v>7432.5</v>
      </c>
      <c r="R19" s="1634">
        <v>65.17</v>
      </c>
      <c r="S19" s="1634" t="s">
        <v>3206</v>
      </c>
      <c r="T19" s="1634" t="s">
        <v>3207</v>
      </c>
      <c r="V19" s="1634">
        <f t="shared" si="0"/>
        <v>14865</v>
      </c>
    </row>
    <row r="20" spans="1:22">
      <c r="A20" s="1634" t="s">
        <v>3284</v>
      </c>
      <c r="B20" s="1634" t="s">
        <v>3199</v>
      </c>
      <c r="C20" s="1634" t="s">
        <v>3077</v>
      </c>
      <c r="D20" s="1634" t="s">
        <v>1326</v>
      </c>
      <c r="E20" s="1634" t="s">
        <v>3284</v>
      </c>
      <c r="F20" s="1634" t="s">
        <v>3200</v>
      </c>
      <c r="G20" s="1634" t="s">
        <v>3285</v>
      </c>
      <c r="H20" s="1634" t="s">
        <v>3061</v>
      </c>
      <c r="I20" s="1634">
        <v>64420</v>
      </c>
      <c r="J20" s="1634">
        <v>182952.8</v>
      </c>
      <c r="K20" s="1634" t="s">
        <v>3286</v>
      </c>
      <c r="L20" s="1634" t="s">
        <v>3287</v>
      </c>
      <c r="M20" s="1634" t="s">
        <v>3288</v>
      </c>
      <c r="N20" s="1634" t="s">
        <v>3289</v>
      </c>
      <c r="O20" s="1634">
        <v>47155.44</v>
      </c>
      <c r="P20" s="1634">
        <v>488</v>
      </c>
      <c r="Q20" s="1634">
        <v>2577.46</v>
      </c>
      <c r="R20" s="1634">
        <v>0</v>
      </c>
      <c r="S20" s="1634" t="s">
        <v>3206</v>
      </c>
      <c r="T20" s="1634" t="s">
        <v>3236</v>
      </c>
      <c r="V20" s="1634">
        <f t="shared" si="0"/>
        <v>7320</v>
      </c>
    </row>
    <row r="21" spans="1:22">
      <c r="A21" s="1634" t="s">
        <v>3290</v>
      </c>
      <c r="B21" s="1634" t="s">
        <v>3199</v>
      </c>
      <c r="C21" s="1634" t="s">
        <v>3077</v>
      </c>
      <c r="D21" s="1634" t="s">
        <v>1326</v>
      </c>
      <c r="E21" s="1634" t="s">
        <v>3290</v>
      </c>
      <c r="F21" s="1634" t="s">
        <v>3219</v>
      </c>
      <c r="G21" s="1634" t="s">
        <v>3291</v>
      </c>
      <c r="H21" s="1634" t="s">
        <v>3061</v>
      </c>
      <c r="I21" s="1634">
        <v>55635</v>
      </c>
      <c r="J21" s="1634">
        <v>122397</v>
      </c>
      <c r="K21" s="1634" t="s">
        <v>3273</v>
      </c>
      <c r="L21" s="1634" t="s">
        <v>3292</v>
      </c>
      <c r="M21" s="1634" t="s">
        <v>3293</v>
      </c>
      <c r="N21" s="1634" t="s">
        <v>3294</v>
      </c>
      <c r="O21" s="1634">
        <v>90626.69</v>
      </c>
      <c r="P21" s="1634">
        <v>1085.97</v>
      </c>
      <c r="Q21" s="1634">
        <v>7404.31</v>
      </c>
      <c r="R21" s="1634">
        <v>65.8</v>
      </c>
      <c r="S21" s="1634" t="s">
        <v>3206</v>
      </c>
      <c r="T21" s="1634" t="s">
        <v>3236</v>
      </c>
      <c r="V21" s="1634">
        <f t="shared" si="0"/>
        <v>16289</v>
      </c>
    </row>
    <row r="22" spans="1:22">
      <c r="A22" s="1634" t="s">
        <v>3295</v>
      </c>
      <c r="B22" s="1634" t="s">
        <v>3199</v>
      </c>
      <c r="C22" s="1634" t="s">
        <v>3077</v>
      </c>
      <c r="D22" s="1634" t="s">
        <v>1326</v>
      </c>
      <c r="E22" s="1634" t="s">
        <v>3295</v>
      </c>
      <c r="F22" s="1634" t="s">
        <v>3219</v>
      </c>
      <c r="G22" s="1634" t="s">
        <v>3296</v>
      </c>
      <c r="H22" s="1634" t="s">
        <v>3297</v>
      </c>
      <c r="I22" s="1634">
        <v>1978</v>
      </c>
      <c r="J22" s="1634">
        <v>8307.6</v>
      </c>
      <c r="K22" s="1634" t="s">
        <v>3298</v>
      </c>
      <c r="L22" s="1634" t="s">
        <v>3299</v>
      </c>
      <c r="M22" s="1634" t="s">
        <v>3300</v>
      </c>
      <c r="N22" s="1634" t="s">
        <v>3301</v>
      </c>
      <c r="O22" s="1634">
        <v>3103.48</v>
      </c>
      <c r="P22" s="1634">
        <v>1046</v>
      </c>
      <c r="Q22" s="1634">
        <v>3735.71</v>
      </c>
      <c r="R22" s="1634">
        <v>1.36</v>
      </c>
      <c r="S22" s="1634" t="s">
        <v>3206</v>
      </c>
      <c r="T22" s="1634" t="s">
        <v>3229</v>
      </c>
      <c r="V22" s="1634">
        <f t="shared" si="0"/>
        <v>15689</v>
      </c>
    </row>
    <row r="23" spans="1:22">
      <c r="A23" s="1634" t="s">
        <v>3302</v>
      </c>
      <c r="B23" s="1634" t="s">
        <v>3199</v>
      </c>
      <c r="C23" s="1634" t="s">
        <v>3077</v>
      </c>
      <c r="D23" s="1634" t="s">
        <v>1326</v>
      </c>
      <c r="E23" s="1634" t="s">
        <v>3302</v>
      </c>
      <c r="F23" s="1634" t="s">
        <v>3219</v>
      </c>
      <c r="G23" s="1634" t="s">
        <v>3303</v>
      </c>
      <c r="H23" s="1634" t="s">
        <v>3297</v>
      </c>
      <c r="I23" s="1634">
        <v>51347</v>
      </c>
      <c r="J23" s="1634">
        <v>112963.4</v>
      </c>
      <c r="K23" s="1634" t="s">
        <v>3273</v>
      </c>
      <c r="L23" s="1634" t="s">
        <v>3304</v>
      </c>
      <c r="M23" s="1634" t="s">
        <v>3305</v>
      </c>
      <c r="N23" s="1634" t="s">
        <v>3306</v>
      </c>
      <c r="O23" s="1634">
        <v>27727.38</v>
      </c>
      <c r="P23" s="1634">
        <v>360</v>
      </c>
      <c r="Q23" s="1634">
        <v>2454.5500000000002</v>
      </c>
      <c r="R23" s="1634">
        <v>0</v>
      </c>
      <c r="S23" s="1634" t="s">
        <v>3206</v>
      </c>
      <c r="T23" s="1634" t="s">
        <v>3207</v>
      </c>
      <c r="V23" s="1634">
        <f t="shared" si="0"/>
        <v>5400</v>
      </c>
    </row>
    <row r="24" spans="1:22">
      <c r="A24" s="1634" t="s">
        <v>3307</v>
      </c>
      <c r="B24" s="1634" t="s">
        <v>3199</v>
      </c>
      <c r="C24" s="1634" t="s">
        <v>3077</v>
      </c>
      <c r="D24" s="1634" t="s">
        <v>1326</v>
      </c>
      <c r="E24" s="1634" t="s">
        <v>3307</v>
      </c>
      <c r="F24" s="1634" t="s">
        <v>3219</v>
      </c>
      <c r="G24" s="1634" t="s">
        <v>3308</v>
      </c>
      <c r="H24" s="1634" t="s">
        <v>3297</v>
      </c>
      <c r="I24" s="1634">
        <v>56289</v>
      </c>
      <c r="J24" s="1634">
        <v>123835.8</v>
      </c>
      <c r="K24" s="1634" t="s">
        <v>3273</v>
      </c>
      <c r="L24" s="1634" t="s">
        <v>3304</v>
      </c>
      <c r="M24" s="1634" t="s">
        <v>3305</v>
      </c>
      <c r="N24" s="1634" t="s">
        <v>3306</v>
      </c>
      <c r="O24" s="1634">
        <v>30396.06</v>
      </c>
      <c r="P24" s="1634">
        <v>360</v>
      </c>
      <c r="Q24" s="1634">
        <v>2454.5500000000002</v>
      </c>
      <c r="R24" s="1634">
        <v>0</v>
      </c>
      <c r="S24" s="1634" t="s">
        <v>3206</v>
      </c>
      <c r="T24" s="1634" t="s">
        <v>3236</v>
      </c>
      <c r="V24" s="1634">
        <f t="shared" si="0"/>
        <v>5400</v>
      </c>
    </row>
    <row r="25" spans="1:22">
      <c r="A25" s="1634" t="s">
        <v>3309</v>
      </c>
      <c r="B25" s="1634" t="s">
        <v>3199</v>
      </c>
      <c r="C25" s="1634" t="s">
        <v>3077</v>
      </c>
      <c r="D25" s="1634" t="s">
        <v>1326</v>
      </c>
      <c r="E25" s="1634" t="s">
        <v>3309</v>
      </c>
      <c r="F25" s="1634" t="s">
        <v>3219</v>
      </c>
      <c r="G25" s="1634" t="s">
        <v>3310</v>
      </c>
      <c r="H25" s="1634" t="s">
        <v>3297</v>
      </c>
      <c r="I25" s="1634">
        <v>56009</v>
      </c>
      <c r="J25" s="1634">
        <v>123219.8</v>
      </c>
      <c r="K25" s="1634" t="s">
        <v>3273</v>
      </c>
      <c r="L25" s="1634" t="s">
        <v>3304</v>
      </c>
      <c r="M25" s="1634" t="s">
        <v>3305</v>
      </c>
      <c r="N25" s="1634" t="s">
        <v>3306</v>
      </c>
      <c r="O25" s="1634">
        <v>30244.86</v>
      </c>
      <c r="P25" s="1634">
        <v>360</v>
      </c>
      <c r="Q25" s="1634">
        <v>2454.5500000000002</v>
      </c>
      <c r="R25" s="1634">
        <v>0</v>
      </c>
      <c r="S25" s="1634" t="s">
        <v>3206</v>
      </c>
      <c r="T25" s="1634" t="s">
        <v>3207</v>
      </c>
      <c r="V25" s="1634">
        <f t="shared" si="0"/>
        <v>5400</v>
      </c>
    </row>
    <row r="26" spans="1:22">
      <c r="A26" s="1634" t="s">
        <v>3311</v>
      </c>
      <c r="B26" s="1634" t="s">
        <v>3199</v>
      </c>
      <c r="C26" s="1634" t="s">
        <v>3077</v>
      </c>
      <c r="D26" s="1634" t="s">
        <v>1326</v>
      </c>
      <c r="E26" s="1634" t="s">
        <v>3311</v>
      </c>
      <c r="F26" s="1634" t="s">
        <v>3219</v>
      </c>
      <c r="G26" s="1634" t="s">
        <v>3312</v>
      </c>
      <c r="H26" s="1634" t="s">
        <v>3297</v>
      </c>
      <c r="I26" s="1634">
        <v>61651</v>
      </c>
      <c r="J26" s="1634">
        <v>135632.20000000001</v>
      </c>
      <c r="K26" s="1634" t="s">
        <v>3273</v>
      </c>
      <c r="L26" s="1634" t="s">
        <v>3304</v>
      </c>
      <c r="M26" s="1634" t="s">
        <v>3305</v>
      </c>
      <c r="N26" s="1634" t="s">
        <v>3306</v>
      </c>
      <c r="O26" s="1634">
        <v>33291.54</v>
      </c>
      <c r="P26" s="1634">
        <v>360</v>
      </c>
      <c r="Q26" s="1634">
        <v>2454.5500000000002</v>
      </c>
      <c r="R26" s="1634">
        <v>0</v>
      </c>
      <c r="S26" s="1634" t="s">
        <v>3206</v>
      </c>
      <c r="T26" s="1634" t="s">
        <v>3236</v>
      </c>
      <c r="V26" s="1634">
        <f t="shared" si="0"/>
        <v>5400</v>
      </c>
    </row>
    <row r="27" spans="1:22">
      <c r="A27" s="1634" t="s">
        <v>3313</v>
      </c>
      <c r="B27" s="1634" t="s">
        <v>3199</v>
      </c>
      <c r="C27" s="1634" t="s">
        <v>3077</v>
      </c>
      <c r="D27" s="1634" t="s">
        <v>1326</v>
      </c>
      <c r="E27" s="1634" t="s">
        <v>3313</v>
      </c>
      <c r="F27" s="1634" t="s">
        <v>3219</v>
      </c>
      <c r="G27" s="1634" t="s">
        <v>3314</v>
      </c>
      <c r="H27" s="1634" t="s">
        <v>3297</v>
      </c>
      <c r="I27" s="1634">
        <v>38183</v>
      </c>
      <c r="J27" s="1634">
        <v>84002.6</v>
      </c>
      <c r="K27" s="1634" t="s">
        <v>3267</v>
      </c>
      <c r="L27" s="1634" t="s">
        <v>3315</v>
      </c>
      <c r="M27" s="1634" t="s">
        <v>3316</v>
      </c>
      <c r="N27" s="1634" t="s">
        <v>3317</v>
      </c>
      <c r="O27" s="1634">
        <v>50802.48</v>
      </c>
      <c r="P27" s="1634">
        <v>887</v>
      </c>
      <c r="Q27" s="1634">
        <v>6047.72</v>
      </c>
      <c r="R27" s="1634">
        <v>45.41</v>
      </c>
      <c r="S27" s="1634" t="s">
        <v>3206</v>
      </c>
      <c r="T27" s="1634" t="s">
        <v>3236</v>
      </c>
      <c r="V27" s="1634">
        <f t="shared" si="0"/>
        <v>13304</v>
      </c>
    </row>
    <row r="28" spans="1:22" s="2991" customFormat="1">
      <c r="A28" s="2991" t="s">
        <v>3318</v>
      </c>
      <c r="B28" s="2991" t="s">
        <v>3199</v>
      </c>
      <c r="C28" s="2991" t="s">
        <v>3077</v>
      </c>
      <c r="D28" s="2991" t="s">
        <v>1326</v>
      </c>
      <c r="E28" s="2991" t="s">
        <v>3318</v>
      </c>
      <c r="F28" s="2991" t="s">
        <v>3219</v>
      </c>
      <c r="G28" s="2991" t="s">
        <v>3319</v>
      </c>
      <c r="H28" s="2991" t="s">
        <v>3297</v>
      </c>
      <c r="I28" s="2991">
        <v>48384</v>
      </c>
      <c r="J28" s="2991">
        <v>106444.8</v>
      </c>
      <c r="K28" s="2991" t="s">
        <v>3267</v>
      </c>
      <c r="L28" s="2991" t="s">
        <v>3315</v>
      </c>
      <c r="M28" s="2991" t="s">
        <v>3316</v>
      </c>
      <c r="N28" s="2991" t="s">
        <v>3320</v>
      </c>
      <c r="O28" s="2991">
        <v>56318.98</v>
      </c>
      <c r="P28" s="2991">
        <v>776</v>
      </c>
      <c r="Q28" s="2991">
        <v>5290.9</v>
      </c>
      <c r="R28" s="2991">
        <v>41.09</v>
      </c>
      <c r="S28" s="2991" t="s">
        <v>3206</v>
      </c>
      <c r="T28" s="2991" t="s">
        <v>3255</v>
      </c>
      <c r="V28" s="2991">
        <f t="shared" si="0"/>
        <v>11640</v>
      </c>
    </row>
    <row r="29" spans="1:22">
      <c r="A29" s="1634" t="s">
        <v>3321</v>
      </c>
      <c r="B29" s="1634" t="s">
        <v>3199</v>
      </c>
      <c r="C29" s="1634" t="s">
        <v>3077</v>
      </c>
      <c r="D29" s="1634" t="s">
        <v>1326</v>
      </c>
      <c r="E29" s="1634" t="s">
        <v>3321</v>
      </c>
      <c r="F29" s="1634" t="s">
        <v>3219</v>
      </c>
      <c r="G29" s="1634" t="s">
        <v>3322</v>
      </c>
      <c r="H29" s="1634" t="s">
        <v>3297</v>
      </c>
      <c r="I29" s="1634">
        <v>53887</v>
      </c>
      <c r="J29" s="1634">
        <v>107774</v>
      </c>
      <c r="K29" s="1634" t="s">
        <v>3323</v>
      </c>
      <c r="L29" s="1634" t="s">
        <v>3315</v>
      </c>
      <c r="M29" s="1634" t="s">
        <v>3316</v>
      </c>
      <c r="N29" s="1634" t="s">
        <v>3317</v>
      </c>
      <c r="O29" s="1634">
        <v>63694.43</v>
      </c>
      <c r="P29" s="1634">
        <v>788</v>
      </c>
      <c r="Q29" s="1634">
        <v>5910</v>
      </c>
      <c r="R29" s="1634">
        <v>31.33</v>
      </c>
      <c r="S29" s="1634" t="s">
        <v>3206</v>
      </c>
      <c r="T29" s="1634" t="s">
        <v>3236</v>
      </c>
      <c r="V29" s="1634">
        <f t="shared" si="0"/>
        <v>11819</v>
      </c>
    </row>
    <row r="30" spans="1:22">
      <c r="A30" s="1634" t="s">
        <v>3324</v>
      </c>
      <c r="B30" s="1634" t="s">
        <v>3199</v>
      </c>
      <c r="C30" s="1634" t="s">
        <v>3260</v>
      </c>
      <c r="D30" s="1634" t="s">
        <v>1326</v>
      </c>
      <c r="E30" s="1634" t="s">
        <v>3325</v>
      </c>
      <c r="F30" s="1634" t="s">
        <v>3219</v>
      </c>
      <c r="G30" s="1634" t="s">
        <v>3326</v>
      </c>
      <c r="H30" s="1634" t="s">
        <v>3327</v>
      </c>
      <c r="I30" s="1634">
        <v>94162</v>
      </c>
      <c r="J30" s="1634">
        <v>235405</v>
      </c>
      <c r="K30" s="1634" t="s">
        <v>3328</v>
      </c>
      <c r="L30" s="1634" t="s">
        <v>3315</v>
      </c>
      <c r="M30" s="1634" t="s">
        <v>3329</v>
      </c>
      <c r="N30" s="1634" t="s">
        <v>3330</v>
      </c>
      <c r="O30" s="1634">
        <v>54378.55</v>
      </c>
      <c r="P30" s="1634">
        <v>385</v>
      </c>
      <c r="Q30" s="1634">
        <v>2310</v>
      </c>
      <c r="R30" s="1634">
        <v>0</v>
      </c>
      <c r="S30" s="1634" t="s">
        <v>3331</v>
      </c>
      <c r="T30" s="1634" t="s">
        <v>3207</v>
      </c>
      <c r="V30" s="1634">
        <f t="shared" si="0"/>
        <v>5774</v>
      </c>
    </row>
    <row r="31" spans="1:22">
      <c r="A31" s="1634" t="s">
        <v>3332</v>
      </c>
      <c r="B31" s="1634" t="s">
        <v>3199</v>
      </c>
      <c r="C31" s="1634" t="s">
        <v>3077</v>
      </c>
      <c r="D31" s="1634" t="s">
        <v>1326</v>
      </c>
      <c r="E31" s="1634" t="s">
        <v>3332</v>
      </c>
      <c r="F31" s="1634" t="s">
        <v>3219</v>
      </c>
      <c r="G31" s="1634" t="s">
        <v>3333</v>
      </c>
      <c r="H31" s="1634" t="s">
        <v>3297</v>
      </c>
      <c r="I31" s="1634">
        <v>49329</v>
      </c>
      <c r="J31" s="1634">
        <v>98658</v>
      </c>
      <c r="K31" s="1634" t="s">
        <v>3323</v>
      </c>
      <c r="L31" s="1634" t="s">
        <v>3315</v>
      </c>
      <c r="M31" s="1634" t="s">
        <v>3316</v>
      </c>
      <c r="N31" s="1634" t="s">
        <v>3317</v>
      </c>
      <c r="O31" s="1634">
        <v>61488.59</v>
      </c>
      <c r="P31" s="1634">
        <v>831</v>
      </c>
      <c r="Q31" s="1634">
        <v>6232.5</v>
      </c>
      <c r="R31" s="1634">
        <v>38.5</v>
      </c>
      <c r="S31" s="1634" t="s">
        <v>3206</v>
      </c>
      <c r="T31" s="1634" t="s">
        <v>3236</v>
      </c>
      <c r="V31" s="1634">
        <f t="shared" si="0"/>
        <v>12464</v>
      </c>
    </row>
    <row r="32" spans="1:22">
      <c r="A32" s="1634" t="s">
        <v>3334</v>
      </c>
      <c r="B32" s="1634" t="s">
        <v>3199</v>
      </c>
      <c r="C32" s="1634" t="s">
        <v>3260</v>
      </c>
      <c r="D32" s="1634" t="s">
        <v>1326</v>
      </c>
      <c r="E32" s="1634" t="s">
        <v>3335</v>
      </c>
      <c r="F32" s="1634" t="s">
        <v>3219</v>
      </c>
      <c r="G32" s="1634" t="s">
        <v>3336</v>
      </c>
      <c r="H32" s="1634" t="s">
        <v>3264</v>
      </c>
      <c r="I32" s="1634">
        <v>110785.5</v>
      </c>
      <c r="J32" s="1634">
        <v>276963.8</v>
      </c>
      <c r="K32" s="1634" t="s">
        <v>3337</v>
      </c>
      <c r="L32" s="1634" t="s">
        <v>3338</v>
      </c>
      <c r="M32" s="1634" t="s">
        <v>3339</v>
      </c>
      <c r="N32" s="1634" t="s">
        <v>3340</v>
      </c>
      <c r="O32" s="1634">
        <v>66468</v>
      </c>
      <c r="P32" s="1634">
        <v>399.98</v>
      </c>
      <c r="Q32" s="1634">
        <v>2399.88</v>
      </c>
      <c r="R32" s="1634">
        <v>0</v>
      </c>
      <c r="S32" s="1634" t="s">
        <v>1326</v>
      </c>
      <c r="T32" s="1634" t="s">
        <v>3236</v>
      </c>
      <c r="V32" s="1634">
        <f t="shared" si="0"/>
        <v>5999</v>
      </c>
    </row>
    <row r="33" spans="1:22">
      <c r="A33" s="1634" t="s">
        <v>3341</v>
      </c>
      <c r="B33" s="1634" t="s">
        <v>3199</v>
      </c>
      <c r="C33" s="1634" t="s">
        <v>3077</v>
      </c>
      <c r="D33" s="1634" t="s">
        <v>1326</v>
      </c>
      <c r="E33" s="1634" t="s">
        <v>3341</v>
      </c>
      <c r="F33" s="1634" t="s">
        <v>3219</v>
      </c>
      <c r="G33" s="1634" t="s">
        <v>3342</v>
      </c>
      <c r="H33" s="1634" t="s">
        <v>3077</v>
      </c>
      <c r="I33" s="1634">
        <v>36587</v>
      </c>
      <c r="J33" s="1634">
        <v>80491.399999999994</v>
      </c>
      <c r="K33" s="1634" t="s">
        <v>3273</v>
      </c>
      <c r="L33" s="1634" t="s">
        <v>3338</v>
      </c>
      <c r="M33" s="1634" t="s">
        <v>3343</v>
      </c>
      <c r="N33" s="1634" t="s">
        <v>3344</v>
      </c>
      <c r="O33" s="1634">
        <v>37593</v>
      </c>
      <c r="P33" s="1634">
        <v>685</v>
      </c>
      <c r="Q33" s="1634">
        <v>4670.43</v>
      </c>
      <c r="R33" s="1634">
        <v>0.73</v>
      </c>
      <c r="S33" s="1634" t="s">
        <v>3206</v>
      </c>
      <c r="T33" s="1634" t="s">
        <v>3229</v>
      </c>
      <c r="V33" s="1634">
        <f t="shared" si="0"/>
        <v>10274</v>
      </c>
    </row>
    <row r="34" spans="1:22">
      <c r="A34" s="1634" t="s">
        <v>3345</v>
      </c>
      <c r="B34" s="1634" t="s">
        <v>3199</v>
      </c>
      <c r="C34" s="1634" t="s">
        <v>3077</v>
      </c>
      <c r="D34" s="1634" t="s">
        <v>1326</v>
      </c>
      <c r="E34" s="1634" t="s">
        <v>3345</v>
      </c>
      <c r="F34" s="1634" t="s">
        <v>3219</v>
      </c>
      <c r="G34" s="1634" t="s">
        <v>3346</v>
      </c>
      <c r="H34" s="1634" t="s">
        <v>3077</v>
      </c>
      <c r="I34" s="1634">
        <v>53440</v>
      </c>
      <c r="J34" s="1634">
        <v>106880</v>
      </c>
      <c r="K34" s="1634" t="s">
        <v>3215</v>
      </c>
      <c r="L34" s="1634" t="s">
        <v>3338</v>
      </c>
      <c r="M34" s="1634" t="s">
        <v>3343</v>
      </c>
      <c r="N34" s="1634" t="s">
        <v>3347</v>
      </c>
      <c r="O34" s="1634">
        <v>57555</v>
      </c>
      <c r="P34" s="1634">
        <v>718</v>
      </c>
      <c r="Q34" s="1634">
        <v>5385.01</v>
      </c>
      <c r="R34" s="1634">
        <v>10.46</v>
      </c>
      <c r="S34" s="1634" t="s">
        <v>3206</v>
      </c>
      <c r="T34" s="1634" t="s">
        <v>3255</v>
      </c>
      <c r="V34" s="1634">
        <f t="shared" si="0"/>
        <v>10770</v>
      </c>
    </row>
    <row r="35" spans="1:22">
      <c r="A35" s="1634" t="s">
        <v>3348</v>
      </c>
      <c r="B35" s="1634" t="s">
        <v>3199</v>
      </c>
      <c r="C35" s="1634" t="s">
        <v>3077</v>
      </c>
      <c r="D35" s="1634" t="s">
        <v>1326</v>
      </c>
      <c r="E35" s="1634" t="s">
        <v>3348</v>
      </c>
      <c r="F35" s="1634" t="s">
        <v>3219</v>
      </c>
      <c r="G35" s="1634" t="s">
        <v>3349</v>
      </c>
      <c r="H35" s="1634" t="s">
        <v>3077</v>
      </c>
      <c r="I35" s="1634">
        <v>53764</v>
      </c>
      <c r="J35" s="1634">
        <v>107528</v>
      </c>
      <c r="K35" s="1634" t="s">
        <v>3215</v>
      </c>
      <c r="L35" s="1634" t="s">
        <v>3338</v>
      </c>
      <c r="M35" s="1634" t="s">
        <v>3343</v>
      </c>
      <c r="N35" s="1634" t="s">
        <v>3350</v>
      </c>
      <c r="O35" s="1634">
        <v>58468</v>
      </c>
      <c r="P35" s="1634">
        <v>725</v>
      </c>
      <c r="Q35" s="1634">
        <v>5437.47</v>
      </c>
      <c r="R35" s="1634">
        <v>11.54</v>
      </c>
      <c r="S35" s="1634" t="s">
        <v>3206</v>
      </c>
      <c r="T35" s="1634" t="s">
        <v>3255</v>
      </c>
      <c r="V35" s="1634">
        <f t="shared" si="0"/>
        <v>10874</v>
      </c>
    </row>
    <row r="36" spans="1:22">
      <c r="A36" s="1634" t="s">
        <v>3351</v>
      </c>
      <c r="B36" s="1634" t="s">
        <v>3199</v>
      </c>
      <c r="C36" s="1634" t="s">
        <v>3077</v>
      </c>
      <c r="D36" s="1634" t="s">
        <v>1326</v>
      </c>
      <c r="E36" s="1634" t="s">
        <v>3351</v>
      </c>
      <c r="F36" s="1634" t="s">
        <v>3219</v>
      </c>
      <c r="G36" s="1634" t="s">
        <v>3352</v>
      </c>
      <c r="H36" s="1634" t="s">
        <v>3077</v>
      </c>
      <c r="I36" s="1634">
        <v>57201</v>
      </c>
      <c r="J36" s="1634">
        <v>125842.2</v>
      </c>
      <c r="K36" s="1634" t="s">
        <v>3273</v>
      </c>
      <c r="L36" s="1634" t="s">
        <v>3338</v>
      </c>
      <c r="M36" s="1634" t="s">
        <v>3339</v>
      </c>
      <c r="N36" s="1634" t="s">
        <v>3353</v>
      </c>
      <c r="O36" s="1634">
        <v>56629</v>
      </c>
      <c r="P36" s="1634">
        <v>660</v>
      </c>
      <c r="Q36" s="1634">
        <v>4500</v>
      </c>
      <c r="R36" s="1634">
        <v>1.54</v>
      </c>
      <c r="S36" s="1634" t="s">
        <v>3206</v>
      </c>
      <c r="T36" s="1634" t="s">
        <v>3229</v>
      </c>
      <c r="V36" s="1634">
        <f t="shared" si="0"/>
        <v>9900</v>
      </c>
    </row>
    <row r="37" spans="1:22">
      <c r="A37" s="1634" t="s">
        <v>3354</v>
      </c>
      <c r="B37" s="1634" t="s">
        <v>3199</v>
      </c>
      <c r="C37" s="1634" t="s">
        <v>3260</v>
      </c>
      <c r="D37" s="1634" t="s">
        <v>1326</v>
      </c>
      <c r="E37" s="1634" t="s">
        <v>3354</v>
      </c>
      <c r="F37" s="1634" t="s">
        <v>3219</v>
      </c>
      <c r="G37" s="1634" t="s">
        <v>3355</v>
      </c>
      <c r="H37" s="1634" t="s">
        <v>3356</v>
      </c>
      <c r="I37" s="1634">
        <v>117293</v>
      </c>
      <c r="J37" s="1634">
        <v>293232.5</v>
      </c>
      <c r="K37" s="1634" t="s">
        <v>3357</v>
      </c>
      <c r="L37" s="1634" t="s">
        <v>3338</v>
      </c>
      <c r="M37" s="1634" t="s">
        <v>3339</v>
      </c>
      <c r="N37" s="1634" t="s">
        <v>3340</v>
      </c>
      <c r="O37" s="1634">
        <v>70376</v>
      </c>
      <c r="P37" s="1634">
        <v>400</v>
      </c>
      <c r="Q37" s="1634">
        <v>2400.0100000000002</v>
      </c>
      <c r="R37" s="1634">
        <v>0</v>
      </c>
      <c r="S37" s="1634" t="s">
        <v>3264</v>
      </c>
      <c r="T37" s="1634" t="s">
        <v>3207</v>
      </c>
      <c r="V37" s="1634">
        <f t="shared" si="0"/>
        <v>6000</v>
      </c>
    </row>
    <row r="38" spans="1:22">
      <c r="A38" s="1634" t="s">
        <v>3358</v>
      </c>
      <c r="B38" s="1634" t="s">
        <v>3199</v>
      </c>
      <c r="C38" s="1634" t="s">
        <v>3077</v>
      </c>
      <c r="D38" s="1634" t="s">
        <v>1326</v>
      </c>
      <c r="E38" s="1634" t="s">
        <v>3358</v>
      </c>
      <c r="F38" s="1634" t="s">
        <v>3219</v>
      </c>
      <c r="G38" s="1634" t="s">
        <v>3359</v>
      </c>
      <c r="H38" s="1634" t="s">
        <v>3297</v>
      </c>
      <c r="I38" s="1634">
        <v>31667</v>
      </c>
      <c r="J38" s="1634">
        <v>79167.5</v>
      </c>
      <c r="K38" s="1634" t="s">
        <v>3246</v>
      </c>
      <c r="L38" s="1634" t="s">
        <v>3360</v>
      </c>
      <c r="M38" s="1634" t="s">
        <v>3361</v>
      </c>
      <c r="N38" s="1634" t="s">
        <v>3362</v>
      </c>
      <c r="O38" s="1634">
        <v>46400</v>
      </c>
      <c r="P38" s="1634">
        <v>976.83</v>
      </c>
      <c r="Q38" s="1634">
        <v>5860.98</v>
      </c>
      <c r="R38" s="1634">
        <v>62.81</v>
      </c>
      <c r="S38" s="1634" t="s">
        <v>3206</v>
      </c>
      <c r="T38" s="1634" t="s">
        <v>3207</v>
      </c>
      <c r="V38" s="1634">
        <f t="shared" si="0"/>
        <v>14652</v>
      </c>
    </row>
    <row r="39" spans="1:22">
      <c r="A39" s="1634" t="s">
        <v>3363</v>
      </c>
      <c r="B39" s="1634" t="s">
        <v>3199</v>
      </c>
      <c r="C39" s="1634" t="s">
        <v>3077</v>
      </c>
      <c r="D39" s="1634" t="s">
        <v>1326</v>
      </c>
      <c r="E39" s="1634" t="s">
        <v>3363</v>
      </c>
      <c r="F39" s="1634" t="s">
        <v>3219</v>
      </c>
      <c r="G39" s="1634" t="s">
        <v>3364</v>
      </c>
      <c r="H39" s="1634" t="s">
        <v>3297</v>
      </c>
      <c r="I39" s="1634">
        <v>7904</v>
      </c>
      <c r="J39" s="1634">
        <v>17388.8</v>
      </c>
      <c r="K39" s="1634" t="s">
        <v>3365</v>
      </c>
      <c r="L39" s="1634" t="s">
        <v>3366</v>
      </c>
      <c r="M39" s="1634" t="s">
        <v>3367</v>
      </c>
      <c r="N39" s="1634" t="s">
        <v>3368</v>
      </c>
      <c r="O39" s="1634">
        <v>5323</v>
      </c>
      <c r="P39" s="1634">
        <v>448.97</v>
      </c>
      <c r="Q39" s="1634">
        <v>3061.17</v>
      </c>
      <c r="R39" s="1634">
        <v>287.04000000000002</v>
      </c>
      <c r="S39" s="1634" t="s">
        <v>3206</v>
      </c>
      <c r="T39" s="1634" t="s">
        <v>3255</v>
      </c>
      <c r="V39" s="1634">
        <f t="shared" si="0"/>
        <v>6734</v>
      </c>
    </row>
    <row r="40" spans="1:22" s="2986" customFormat="1">
      <c r="A40" s="2986" t="s">
        <v>3369</v>
      </c>
      <c r="B40" s="2986" t="s">
        <v>3199</v>
      </c>
      <c r="C40" s="2986" t="s">
        <v>3077</v>
      </c>
      <c r="D40" s="2986" t="s">
        <v>1326</v>
      </c>
      <c r="E40" s="2986" t="s">
        <v>3369</v>
      </c>
      <c r="F40" s="2986" t="s">
        <v>3219</v>
      </c>
      <c r="G40" s="2986" t="s">
        <v>3370</v>
      </c>
      <c r="H40" s="2986" t="s">
        <v>3297</v>
      </c>
      <c r="I40" s="2986">
        <v>53860</v>
      </c>
      <c r="J40" s="2986">
        <v>134650</v>
      </c>
      <c r="K40" s="2986" t="s">
        <v>3371</v>
      </c>
      <c r="L40" s="2986" t="s">
        <v>3372</v>
      </c>
      <c r="M40" s="2986" t="s">
        <v>3373</v>
      </c>
      <c r="N40" s="2986" t="s">
        <v>3374</v>
      </c>
      <c r="O40" s="2986">
        <v>50575</v>
      </c>
      <c r="P40" s="2986">
        <v>626.01</v>
      </c>
      <c r="Q40" s="2986">
        <v>3756.03</v>
      </c>
      <c r="R40" s="2986">
        <v>4.33</v>
      </c>
      <c r="S40" s="2986" t="s">
        <v>3206</v>
      </c>
      <c r="T40" s="2986" t="s">
        <v>3207</v>
      </c>
      <c r="V40" s="2986">
        <f t="shared" si="0"/>
        <v>9390</v>
      </c>
    </row>
    <row r="41" spans="1:22">
      <c r="A41" s="1634" t="s">
        <v>3375</v>
      </c>
      <c r="B41" s="1634" t="s">
        <v>3199</v>
      </c>
      <c r="C41" s="1634" t="s">
        <v>3077</v>
      </c>
      <c r="D41" s="1634" t="s">
        <v>1326</v>
      </c>
      <c r="E41" s="1634" t="s">
        <v>3375</v>
      </c>
      <c r="F41" s="1634" t="s">
        <v>3219</v>
      </c>
      <c r="G41" s="1634" t="s">
        <v>3376</v>
      </c>
      <c r="H41" s="1634" t="s">
        <v>3297</v>
      </c>
      <c r="I41" s="1634">
        <v>2935</v>
      </c>
      <c r="J41" s="1634">
        <v>6457</v>
      </c>
      <c r="K41" s="1634" t="s">
        <v>3365</v>
      </c>
      <c r="L41" s="1634" t="s">
        <v>3372</v>
      </c>
      <c r="M41" s="1634" t="s">
        <v>3367</v>
      </c>
      <c r="N41" s="1634" t="s">
        <v>3368</v>
      </c>
      <c r="O41" s="1634">
        <v>1942</v>
      </c>
      <c r="P41" s="1634">
        <v>441.11</v>
      </c>
      <c r="Q41" s="1634">
        <v>3007.59</v>
      </c>
      <c r="R41" s="1634">
        <v>280.27</v>
      </c>
      <c r="S41" s="1634" t="s">
        <v>3206</v>
      </c>
      <c r="T41" s="1634" t="s">
        <v>3207</v>
      </c>
      <c r="V41" s="1634">
        <f t="shared" si="0"/>
        <v>6616</v>
      </c>
    </row>
    <row r="42" spans="1:22">
      <c r="A42" s="1634" t="s">
        <v>3377</v>
      </c>
      <c r="B42" s="1634" t="s">
        <v>3199</v>
      </c>
      <c r="C42" s="1634" t="s">
        <v>3077</v>
      </c>
      <c r="D42" s="1634" t="s">
        <v>1326</v>
      </c>
      <c r="E42" s="1634" t="s">
        <v>3377</v>
      </c>
      <c r="F42" s="1634" t="s">
        <v>3219</v>
      </c>
      <c r="G42" s="1634" t="s">
        <v>3378</v>
      </c>
      <c r="H42" s="1634" t="s">
        <v>3297</v>
      </c>
      <c r="I42" s="1634">
        <v>2714</v>
      </c>
      <c r="J42" s="1634">
        <v>5428</v>
      </c>
      <c r="K42" s="1634" t="s">
        <v>3323</v>
      </c>
      <c r="L42" s="1634" t="s">
        <v>3372</v>
      </c>
      <c r="M42" s="1634" t="s">
        <v>3367</v>
      </c>
      <c r="N42" s="1634" t="s">
        <v>3379</v>
      </c>
      <c r="O42" s="1634">
        <v>2849</v>
      </c>
      <c r="P42" s="1634">
        <v>699.83</v>
      </c>
      <c r="Q42" s="1634">
        <v>5248.71</v>
      </c>
      <c r="R42" s="1634">
        <v>0</v>
      </c>
      <c r="S42" s="1634" t="s">
        <v>3206</v>
      </c>
      <c r="T42" s="1634" t="s">
        <v>3207</v>
      </c>
      <c r="V42" s="1634">
        <f t="shared" si="0"/>
        <v>10497</v>
      </c>
    </row>
    <row r="43" spans="1:22">
      <c r="A43" s="1634" t="s">
        <v>3380</v>
      </c>
      <c r="B43" s="1634" t="s">
        <v>3199</v>
      </c>
      <c r="C43" s="1634" t="s">
        <v>3077</v>
      </c>
      <c r="D43" s="1634" t="s">
        <v>1326</v>
      </c>
      <c r="E43" s="1634" t="s">
        <v>3380</v>
      </c>
      <c r="F43" s="1634" t="s">
        <v>3219</v>
      </c>
      <c r="G43" s="1634" t="s">
        <v>3381</v>
      </c>
      <c r="H43" s="1634" t="s">
        <v>3297</v>
      </c>
      <c r="I43" s="1634">
        <v>52297</v>
      </c>
      <c r="J43" s="1634">
        <v>130742.5</v>
      </c>
      <c r="K43" s="1634" t="s">
        <v>3371</v>
      </c>
      <c r="L43" s="1634" t="s">
        <v>3372</v>
      </c>
      <c r="M43" s="1634" t="s">
        <v>3373</v>
      </c>
      <c r="N43" s="1634" t="s">
        <v>3344</v>
      </c>
      <c r="O43" s="1634">
        <v>52797</v>
      </c>
      <c r="P43" s="1634">
        <v>673.04</v>
      </c>
      <c r="Q43" s="1634">
        <v>4038.23</v>
      </c>
      <c r="R43" s="1634">
        <v>12.17</v>
      </c>
      <c r="S43" s="1634" t="s">
        <v>3206</v>
      </c>
      <c r="T43" s="1634" t="s">
        <v>3207</v>
      </c>
      <c r="V43" s="1634">
        <f t="shared" si="0"/>
        <v>10095</v>
      </c>
    </row>
    <row r="44" spans="1:22">
      <c r="A44" s="1634" t="s">
        <v>3363</v>
      </c>
      <c r="B44" s="1634" t="s">
        <v>3199</v>
      </c>
      <c r="C44" s="1634" t="s">
        <v>3077</v>
      </c>
      <c r="D44" s="1634" t="s">
        <v>1326</v>
      </c>
      <c r="E44" s="1634" t="s">
        <v>3363</v>
      </c>
      <c r="F44" s="1634" t="s">
        <v>3219</v>
      </c>
      <c r="G44" s="1634" t="s">
        <v>3382</v>
      </c>
      <c r="H44" s="1634" t="s">
        <v>3297</v>
      </c>
      <c r="I44" s="1634">
        <v>58640</v>
      </c>
      <c r="J44" s="1634">
        <v>129008</v>
      </c>
      <c r="K44" s="1634" t="s">
        <v>3365</v>
      </c>
      <c r="L44" s="1634" t="s">
        <v>3372</v>
      </c>
      <c r="M44" s="1634" t="s">
        <v>3367</v>
      </c>
      <c r="N44" s="1634" t="s">
        <v>3383</v>
      </c>
      <c r="O44" s="1634">
        <v>45299</v>
      </c>
      <c r="P44" s="1634">
        <v>515</v>
      </c>
      <c r="Q44" s="1634">
        <v>3511.32</v>
      </c>
      <c r="R44" s="1634">
        <v>343.96</v>
      </c>
      <c r="S44" s="1634" t="s">
        <v>3206</v>
      </c>
      <c r="T44" s="1634" t="s">
        <v>3255</v>
      </c>
      <c r="V44" s="1634">
        <f t="shared" si="0"/>
        <v>7724</v>
      </c>
    </row>
    <row r="45" spans="1:22">
      <c r="A45" s="1634" t="s">
        <v>3384</v>
      </c>
      <c r="B45" s="1634" t="s">
        <v>3199</v>
      </c>
      <c r="C45" s="1634" t="s">
        <v>3077</v>
      </c>
      <c r="D45" s="1634" t="s">
        <v>1326</v>
      </c>
      <c r="E45" s="1634" t="s">
        <v>3384</v>
      </c>
      <c r="F45" s="1634" t="s">
        <v>3219</v>
      </c>
      <c r="G45" s="1634" t="s">
        <v>3385</v>
      </c>
      <c r="H45" s="1634" t="s">
        <v>3297</v>
      </c>
      <c r="I45" s="1634">
        <v>12530</v>
      </c>
      <c r="J45" s="1634">
        <v>27566</v>
      </c>
      <c r="K45" s="1634" t="s">
        <v>3365</v>
      </c>
      <c r="L45" s="1634" t="s">
        <v>3372</v>
      </c>
      <c r="M45" s="1634" t="s">
        <v>3373</v>
      </c>
      <c r="N45" s="1634" t="s">
        <v>3383</v>
      </c>
      <c r="O45" s="1634">
        <v>8307</v>
      </c>
      <c r="P45" s="1634">
        <v>441.98</v>
      </c>
      <c r="Q45" s="1634">
        <v>3013.48</v>
      </c>
      <c r="R45" s="1634">
        <v>281.02</v>
      </c>
      <c r="S45" s="1634" t="s">
        <v>3206</v>
      </c>
      <c r="T45" s="1634" t="s">
        <v>3236</v>
      </c>
      <c r="V45" s="1634">
        <f t="shared" si="0"/>
        <v>6629</v>
      </c>
    </row>
    <row r="46" spans="1:22">
      <c r="A46" s="1634" t="s">
        <v>3363</v>
      </c>
      <c r="B46" s="1634" t="s">
        <v>3199</v>
      </c>
      <c r="C46" s="1634" t="s">
        <v>3077</v>
      </c>
      <c r="D46" s="1634" t="s">
        <v>1326</v>
      </c>
      <c r="E46" s="1634" t="s">
        <v>3363</v>
      </c>
      <c r="F46" s="1634" t="s">
        <v>3219</v>
      </c>
      <c r="G46" s="1634" t="s">
        <v>3386</v>
      </c>
      <c r="H46" s="1634" t="s">
        <v>3297</v>
      </c>
      <c r="I46" s="1634">
        <v>33283</v>
      </c>
      <c r="J46" s="1634">
        <v>66566</v>
      </c>
      <c r="K46" s="1634" t="s">
        <v>3387</v>
      </c>
      <c r="L46" s="1634" t="s">
        <v>3372</v>
      </c>
      <c r="M46" s="1634" t="s">
        <v>3367</v>
      </c>
      <c r="N46" s="1634" t="s">
        <v>3383</v>
      </c>
      <c r="O46" s="1634">
        <v>24413</v>
      </c>
      <c r="P46" s="1634">
        <v>489</v>
      </c>
      <c r="Q46" s="1634">
        <v>3667.48</v>
      </c>
      <c r="R46" s="1634">
        <v>357.01</v>
      </c>
      <c r="S46" s="1634" t="s">
        <v>3206</v>
      </c>
      <c r="T46" s="1634" t="s">
        <v>3255</v>
      </c>
      <c r="V46" s="1634">
        <f t="shared" si="0"/>
        <v>7334</v>
      </c>
    </row>
    <row r="47" spans="1:22">
      <c r="A47" s="1634" t="s">
        <v>3388</v>
      </c>
      <c r="B47" s="1634" t="s">
        <v>3199</v>
      </c>
      <c r="C47" s="1634" t="s">
        <v>3077</v>
      </c>
      <c r="D47" s="1634" t="s">
        <v>1326</v>
      </c>
      <c r="E47" s="2987" t="s">
        <v>3441</v>
      </c>
      <c r="F47" s="1634" t="s">
        <v>3219</v>
      </c>
      <c r="G47" s="1634" t="s">
        <v>3389</v>
      </c>
      <c r="H47" s="1634" t="s">
        <v>3297</v>
      </c>
      <c r="I47" s="1634">
        <v>14306</v>
      </c>
      <c r="J47" s="1634">
        <v>31473.200000000001</v>
      </c>
      <c r="K47" s="1634" t="s">
        <v>3273</v>
      </c>
      <c r="L47" s="1634" t="s">
        <v>3372</v>
      </c>
      <c r="M47" s="1634" t="s">
        <v>3373</v>
      </c>
      <c r="N47" s="1634" t="s">
        <v>3390</v>
      </c>
      <c r="O47" s="1634">
        <v>13691</v>
      </c>
      <c r="P47" s="1634">
        <v>638.01</v>
      </c>
      <c r="Q47" s="1634">
        <v>4350.05</v>
      </c>
      <c r="R47" s="1634">
        <v>298.75</v>
      </c>
      <c r="S47" s="1634" t="s">
        <v>3206</v>
      </c>
      <c r="T47" s="1634" t="s">
        <v>3236</v>
      </c>
      <c r="V47" s="1634">
        <f t="shared" si="0"/>
        <v>9570</v>
      </c>
    </row>
    <row r="48" spans="1:22">
      <c r="A48" s="1634" t="s">
        <v>3391</v>
      </c>
      <c r="B48" s="1634" t="s">
        <v>3199</v>
      </c>
      <c r="C48" s="1634" t="s">
        <v>3077</v>
      </c>
      <c r="D48" s="1634" t="s">
        <v>1326</v>
      </c>
      <c r="E48" s="1634" t="s">
        <v>3391</v>
      </c>
      <c r="F48" s="1634" t="s">
        <v>3200</v>
      </c>
      <c r="G48" s="1634" t="s">
        <v>3392</v>
      </c>
      <c r="H48" s="1634" t="s">
        <v>3297</v>
      </c>
      <c r="I48" s="1634">
        <v>17460</v>
      </c>
      <c r="J48" s="1634">
        <v>34920</v>
      </c>
      <c r="K48" s="1634" t="s">
        <v>3393</v>
      </c>
      <c r="L48" s="1634" t="s">
        <v>3394</v>
      </c>
      <c r="M48" s="1634" t="s">
        <v>3395</v>
      </c>
      <c r="N48" s="1634" t="s">
        <v>3396</v>
      </c>
      <c r="O48" s="1634">
        <v>2357.09</v>
      </c>
      <c r="P48" s="1634">
        <v>90</v>
      </c>
      <c r="Q48" s="1634">
        <v>675</v>
      </c>
      <c r="R48" s="1634">
        <v>0</v>
      </c>
      <c r="S48" s="1634" t="s">
        <v>3206</v>
      </c>
      <c r="T48" s="1634" t="s">
        <v>3207</v>
      </c>
      <c r="V48" s="1634">
        <f t="shared" si="0"/>
        <v>1349</v>
      </c>
    </row>
  </sheetData>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943" customWidth="1"/>
    <col min="2" max="16384" width="9" style="1943"/>
  </cols>
  <sheetData>
    <row r="1" spans="1:1" ht="24">
      <c r="A1" s="1942" t="s">
        <v>1605</v>
      </c>
    </row>
    <row r="2" spans="1:1">
      <c r="A2" s="1944"/>
    </row>
    <row r="3" spans="1:1" ht="18">
      <c r="A3" s="1945" t="str">
        <f>项目基本情况!B5&amp;"："</f>
        <v>：</v>
      </c>
    </row>
    <row r="4" spans="1:1" ht="19">
      <c r="A4" s="1946" t="str">
        <f>"受贵公司委托，我公司对"&amp;项目基本情况!S1&amp;"进行了预评估。"</f>
        <v>受贵公司委托，我公司对出让国有建设用地使用权抵押价值进行了预评估。</v>
      </c>
    </row>
    <row r="5" spans="1:1" ht="18">
      <c r="A5" s="1947" t="s">
        <v>1606</v>
      </c>
    </row>
    <row r="6" spans="1:1" ht="18">
      <c r="A6" s="1948" t="s">
        <v>1607</v>
      </c>
    </row>
    <row r="7" spans="1:1" ht="57">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估价对象为出让国有建设用地使用权，为所有。根据《国有土地使用证》[]，估价对象（分摊）出让国有建设用地使用权面积为535778.54平方米，建筑面积为993873.231平方米。</v>
      </c>
    </row>
    <row r="8" spans="1:1" ht="56">
      <c r="A8" s="1949" t="s">
        <v>1608</v>
      </c>
    </row>
    <row r="9" spans="1:1" ht="18">
      <c r="A9" s="1948" t="s">
        <v>1609</v>
      </c>
    </row>
    <row r="10" spans="1:1" ht="57">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估价对象为出让国有建设用地使用权,属开发建设的，该项目尚在开发建设中。根据《国有土地使用证》[]，估价对象（分摊）出让国有建设用地使用权面积为535778.54平方米，规划建筑面积为993873.231平方米。</v>
      </c>
    </row>
    <row r="11" spans="1:1" ht="74">
      <c r="A11" s="1949" t="s">
        <v>1610</v>
      </c>
    </row>
    <row r="12" spans="1:1" ht="18">
      <c r="A12" s="1947" t="s">
        <v>1611</v>
      </c>
    </row>
    <row r="13" spans="1:1" ht="38.25" customHeight="1">
      <c r="A13" s="1950" t="str">
        <f>IF(项目基本情况!B8="抵押",IF(项目基本情况!B5=项目基本情况!B6,定义!C51,定义!B51),定义!D51)</f>
        <v>为估价委托人了解估价对象房地产市场价值提供参考依据。</v>
      </c>
    </row>
    <row r="14" spans="1:1" ht="18">
      <c r="A14" s="1951" t="s">
        <v>1612</v>
      </c>
    </row>
    <row r="15" spans="1:1" ht="18">
      <c r="A15" s="1952" t="str">
        <f>TEXT(项目基本情况!D3,"yyyy年m月d日;;")&amp;IF(项目基本情况!D3=项目基本情况!B3,"（评估专业人员实地查勘之日）","")</f>
        <v>2020年3月15日</v>
      </c>
    </row>
    <row r="16" spans="1:1" ht="18">
      <c r="A16" s="1951" t="s">
        <v>1613</v>
      </c>
    </row>
    <row r="17" spans="1:1" ht="72">
      <c r="A17" s="1946" t="s">
        <v>1614</v>
      </c>
    </row>
    <row r="18" spans="1:1" ht="57">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6">
      <c r="A20" s="1946" t="str">
        <f>IF(项目基本情况!B9="房地产市场价值","——",IF(项目基本情况!E8="房地产抵押价值",定义!C54,IF(项目基本情况!E8="已注销",定义!C55,定义!C56)))</f>
        <v>——</v>
      </c>
    </row>
    <row r="21" spans="1:1" ht="57">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7">
      <c r="A22" s="1946" t="str">
        <f>IF(项目基本情况!B9="房地产市场价值","——",IF(项目基本情况!E9="——","",定义!C57))</f>
        <v>——</v>
      </c>
    </row>
    <row r="23" spans="1:1" ht="18">
      <c r="A23" s="1951" t="s">
        <v>1603</v>
      </c>
    </row>
    <row r="24" spans="1:1" ht="18">
      <c r="A24" s="1953" t="str">
        <f>"本次评估采用的主估价方法为"&amp;结果表!K4&amp;"和"&amp;结果表!L4&amp;"。"</f>
        <v>本次评估采用的主估价方法为比较法和假设开发法。</v>
      </c>
    </row>
    <row r="25" spans="1:1" ht="18">
      <c r="A25" s="1953"/>
    </row>
    <row r="26" spans="1:1" ht="18">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C2:AB49"/>
  <sheetViews>
    <sheetView topLeftCell="A13" zoomScaleNormal="100" workbookViewId="0">
      <selection activeCell="H44" sqref="H44"/>
    </sheetView>
  </sheetViews>
  <sheetFormatPr baseColWidth="10" defaultColWidth="11" defaultRowHeight="14"/>
  <sheetData>
    <row r="2" spans="21:28" ht="23">
      <c r="U2" s="2989" t="s">
        <v>3402</v>
      </c>
    </row>
    <row r="3" spans="21:28" ht="17">
      <c r="U3" s="2990" t="s">
        <v>3133</v>
      </c>
      <c r="V3" s="2990" t="s">
        <v>3403</v>
      </c>
      <c r="W3" s="2990" t="s">
        <v>3404</v>
      </c>
      <c r="X3" s="2990" t="s">
        <v>3405</v>
      </c>
      <c r="Y3" s="2990" t="s">
        <v>3406</v>
      </c>
      <c r="Z3" s="2990" t="s">
        <v>3407</v>
      </c>
      <c r="AA3" s="2990" t="s">
        <v>3408</v>
      </c>
      <c r="AB3" s="2990" t="s">
        <v>3409</v>
      </c>
    </row>
    <row r="4" spans="21:28" ht="17">
      <c r="U4" s="2990" t="s">
        <v>3410</v>
      </c>
      <c r="V4" s="2990">
        <v>3.5</v>
      </c>
      <c r="W4" s="2990">
        <v>2.5</v>
      </c>
      <c r="X4" s="2990">
        <v>2</v>
      </c>
      <c r="Y4" s="2990">
        <v>1.7</v>
      </c>
      <c r="Z4" s="2990">
        <v>1.5</v>
      </c>
      <c r="AA4" s="2990">
        <v>1.2</v>
      </c>
      <c r="AB4" s="2990">
        <v>1</v>
      </c>
    </row>
    <row r="5" spans="21:28" ht="17">
      <c r="U5" s="2990" t="s">
        <v>3411</v>
      </c>
      <c r="V5" s="2990">
        <v>0.64</v>
      </c>
      <c r="W5" s="2990">
        <v>0.8</v>
      </c>
      <c r="X5" s="2990">
        <v>0.91</v>
      </c>
      <c r="Y5" s="2990">
        <v>0.93</v>
      </c>
      <c r="Z5" s="2990">
        <v>0.95</v>
      </c>
      <c r="AA5" s="2990">
        <v>0.98</v>
      </c>
      <c r="AB5" s="2990">
        <v>1</v>
      </c>
    </row>
    <row r="6" spans="21:28" ht="17">
      <c r="U6" s="2990" t="s">
        <v>3133</v>
      </c>
      <c r="V6" s="2990" t="s">
        <v>3412</v>
      </c>
      <c r="W6" s="2990" t="s">
        <v>3413</v>
      </c>
      <c r="X6" s="2990" t="s">
        <v>3414</v>
      </c>
      <c r="Y6" s="2990" t="s">
        <v>3415</v>
      </c>
      <c r="Z6" s="2990" t="s">
        <v>3416</v>
      </c>
      <c r="AA6" s="2990" t="s">
        <v>3417</v>
      </c>
      <c r="AB6" s="2990" t="s">
        <v>3418</v>
      </c>
    </row>
    <row r="7" spans="21:28" ht="17">
      <c r="U7" s="2990" t="s">
        <v>3410</v>
      </c>
      <c r="V7" s="2990">
        <v>0.97</v>
      </c>
      <c r="W7" s="2990">
        <v>0.94</v>
      </c>
      <c r="X7" s="2990">
        <v>0.91</v>
      </c>
      <c r="Y7" s="2990">
        <v>0.88</v>
      </c>
      <c r="Z7" s="2990">
        <v>0.85</v>
      </c>
      <c r="AA7" s="2990">
        <v>0.82</v>
      </c>
      <c r="AB7" s="2990">
        <v>0.79</v>
      </c>
    </row>
    <row r="8" spans="21:28" ht="17">
      <c r="U8" s="2990" t="s">
        <v>3411</v>
      </c>
      <c r="V8" s="2990" t="s">
        <v>3419</v>
      </c>
      <c r="W8" s="2990" t="s">
        <v>3420</v>
      </c>
      <c r="X8" s="2990" t="s">
        <v>3421</v>
      </c>
      <c r="Y8" s="2990" t="s">
        <v>3422</v>
      </c>
      <c r="Z8" s="2990" t="s">
        <v>3423</v>
      </c>
      <c r="AA8" s="2990" t="s">
        <v>3424</v>
      </c>
      <c r="AB8" s="2990" t="s">
        <v>3425</v>
      </c>
    </row>
    <row r="28" spans="3:3">
      <c r="C28" s="2962"/>
    </row>
    <row r="49" spans="8:8">
      <c r="H49" s="3137"/>
    </row>
  </sheetData>
  <phoneticPr fontId="142"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D132"/>
  <sheetViews>
    <sheetView topLeftCell="A32" zoomScaleNormal="100" workbookViewId="0">
      <selection activeCell="I55" sqref="I55"/>
    </sheetView>
  </sheetViews>
  <sheetFormatPr baseColWidth="10" defaultColWidth="9" defaultRowHeight="14"/>
  <cols>
    <col min="1" max="1" width="14.33203125" style="403" customWidth="1"/>
    <col min="2" max="2" width="15.832031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30" s="398" customFormat="1" ht="28.5" customHeight="1">
      <c r="A1" s="394" t="s">
        <v>2738</v>
      </c>
      <c r="B1" s="395"/>
      <c r="C1" s="396" t="s">
        <v>2739</v>
      </c>
      <c r="D1" s="755"/>
      <c r="E1" s="755"/>
      <c r="F1" s="754" t="s">
        <v>2526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1388</v>
      </c>
      <c r="B2" s="671">
        <f>F66</f>
        <v>83805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1389</v>
      </c>
      <c r="B3" s="609">
        <f>ROUND(IF(D3="",B2*10000/'数据-汇总表'!E3,B2*10000/D3),0)</f>
        <v>843</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2529</v>
      </c>
      <c r="B4" s="402"/>
      <c r="C4" s="3490" t="s">
        <v>2530</v>
      </c>
      <c r="D4" s="3491"/>
      <c r="E4" s="3492" t="s">
        <v>2531</v>
      </c>
      <c r="F4" s="3493"/>
      <c r="G4" s="3490" t="s">
        <v>2532</v>
      </c>
      <c r="H4" s="3491"/>
      <c r="I4" s="3490" t="s">
        <v>2533</v>
      </c>
      <c r="J4" s="3491"/>
      <c r="K4" s="610" t="s">
        <v>2534</v>
      </c>
      <c r="L4" s="2978"/>
      <c r="M4" s="2979" t="s">
        <v>4164</v>
      </c>
      <c r="N4" s="2979" t="s">
        <v>746</v>
      </c>
      <c r="O4" s="2979" t="s">
        <v>4163</v>
      </c>
      <c r="P4" s="3494" t="s">
        <v>2535</v>
      </c>
      <c r="Q4" s="3495"/>
      <c r="R4" s="3477" t="s">
        <v>2531</v>
      </c>
      <c r="S4" s="3478"/>
      <c r="T4" s="3477" t="s">
        <v>2532</v>
      </c>
      <c r="U4" s="3478"/>
      <c r="V4" s="3502" t="s">
        <v>2533</v>
      </c>
      <c r="W4" s="3502"/>
      <c r="X4" s="2958"/>
      <c r="Y4" s="3477" t="s">
        <v>2535</v>
      </c>
      <c r="Z4" s="3478"/>
      <c r="AA4" s="3472" t="s">
        <v>2531</v>
      </c>
      <c r="AB4" s="3473" t="s">
        <v>2532</v>
      </c>
      <c r="AC4" s="3472" t="s">
        <v>2533</v>
      </c>
    </row>
    <row r="5" spans="1:30">
      <c r="A5" s="404"/>
      <c r="B5" s="405"/>
      <c r="C5" s="3483" t="s">
        <v>2536</v>
      </c>
      <c r="D5" s="3484"/>
      <c r="E5" s="3481" t="s">
        <v>2537</v>
      </c>
      <c r="F5" s="3482"/>
      <c r="G5" s="3483" t="s">
        <v>2538</v>
      </c>
      <c r="H5" s="3484"/>
      <c r="I5" s="3483" t="s">
        <v>2539</v>
      </c>
      <c r="J5" s="3484"/>
      <c r="K5" s="610"/>
      <c r="L5" s="2980" t="s">
        <v>3397</v>
      </c>
      <c r="M5" s="2981">
        <f>'土地案例（南昌县-商业）'!V3</f>
        <v>3150</v>
      </c>
      <c r="N5" s="2981">
        <v>1.8</v>
      </c>
      <c r="O5" s="2981">
        <f>'土地案例（南昌县-商业）'!AC11</f>
        <v>0.71199999999999997</v>
      </c>
      <c r="P5" s="3496"/>
      <c r="Q5" s="3497"/>
      <c r="R5" s="3479"/>
      <c r="S5" s="3480"/>
      <c r="T5" s="3479"/>
      <c r="U5" s="3480"/>
      <c r="V5" s="3502"/>
      <c r="W5" s="3502"/>
      <c r="X5" s="2958"/>
      <c r="Y5" s="3479"/>
      <c r="Z5" s="3480"/>
      <c r="AA5" s="3473"/>
      <c r="AB5" s="3473"/>
      <c r="AC5" s="3473"/>
    </row>
    <row r="6" spans="1:30" ht="16" thickBot="1">
      <c r="A6" s="406"/>
      <c r="B6" s="407"/>
      <c r="C6" s="3485" t="s">
        <v>2540</v>
      </c>
      <c r="D6" s="3486"/>
      <c r="E6" s="3487" t="s">
        <v>2540</v>
      </c>
      <c r="F6" s="3488"/>
      <c r="G6" s="3485" t="s">
        <v>2540</v>
      </c>
      <c r="H6" s="3486"/>
      <c r="I6" s="3485" t="s">
        <v>2540</v>
      </c>
      <c r="J6" s="3486"/>
      <c r="K6" s="610" t="s">
        <v>2541</v>
      </c>
      <c r="L6" s="2980" t="s">
        <v>3398</v>
      </c>
      <c r="M6" s="2981">
        <f>'土地案例（南昌县-商业）'!V13</f>
        <v>1800</v>
      </c>
      <c r="N6" s="2981">
        <v>0.6</v>
      </c>
      <c r="O6" s="2981">
        <f>'土地案例（南昌县-商业）'!AC3</f>
        <v>0.52</v>
      </c>
      <c r="P6" s="3498"/>
      <c r="Q6" s="3499"/>
      <c r="R6" s="3479"/>
      <c r="S6" s="3480"/>
      <c r="T6" s="3500"/>
      <c r="U6" s="3501"/>
      <c r="V6" s="3502"/>
      <c r="W6" s="3502"/>
      <c r="X6" s="2958"/>
      <c r="Y6" s="3500"/>
      <c r="Z6" s="3501"/>
      <c r="AA6" s="3474"/>
      <c r="AB6" s="3474"/>
      <c r="AC6" s="3474"/>
    </row>
    <row r="7" spans="1:30" s="117" customFormat="1" ht="16" thickBot="1">
      <c r="A7" s="408" t="s">
        <v>2542</v>
      </c>
      <c r="B7" s="409"/>
      <c r="C7" s="410">
        <f>'数据-取费表'!B2</f>
        <v>43905</v>
      </c>
      <c r="D7" s="411">
        <v>100</v>
      </c>
      <c r="E7" s="412" t="str">
        <f>'土地案例（南昌县-商业）'!L3</f>
        <v>2019-11-29</v>
      </c>
      <c r="F7" s="413">
        <f>SUMIF(70:70,YEAR(E7)&amp;"-"&amp;INT((MONTH(E7)+2)/3),71:71)</f>
        <v>99.5</v>
      </c>
      <c r="G7" s="2696" t="str">
        <f>'土地案例（南昌县-商业）'!L13</f>
        <v>2018-09-19</v>
      </c>
      <c r="H7" s="411">
        <f>SUMIF(70:70,YEAR(G7)&amp;"-"&amp;INT((MONTH(G7)+2)/3),71:71)</f>
        <v>97</v>
      </c>
      <c r="I7" s="2696" t="str">
        <f>'土地案例（南昌县-商业）'!L17</f>
        <v>2017-12-13</v>
      </c>
      <c r="J7" s="411">
        <f>SUMIF(70:70,YEAR(I7)&amp;"-"&amp;INT((MONTH(I7)+2)/3),71:71)</f>
        <v>95.5</v>
      </c>
      <c r="K7" s="611"/>
      <c r="L7" s="2980" t="s">
        <v>3399</v>
      </c>
      <c r="M7" s="2982">
        <f>'土地案例（南昌县-商业）'!V17</f>
        <v>1649</v>
      </c>
      <c r="N7" s="2982">
        <v>1</v>
      </c>
      <c r="O7" s="2982">
        <f>'土地案例（南昌县-商业）'!AC3</f>
        <v>0.52</v>
      </c>
      <c r="P7" s="3475" t="s">
        <v>2543</v>
      </c>
      <c r="Q7" s="3503"/>
      <c r="R7" s="770" t="s">
        <v>17</v>
      </c>
      <c r="S7" s="771">
        <f t="shared" ref="S7:S15" si="0">F7</f>
        <v>99.5</v>
      </c>
      <c r="T7" s="770" t="s">
        <v>17</v>
      </c>
      <c r="U7" s="771">
        <f t="shared" ref="U7:U15" si="1">H7</f>
        <v>97</v>
      </c>
      <c r="V7" s="770" t="s">
        <v>17</v>
      </c>
      <c r="W7" s="771">
        <f t="shared" ref="W7:W15" si="2">J7</f>
        <v>95.5</v>
      </c>
      <c r="X7" s="772"/>
      <c r="Y7" s="3475" t="s">
        <v>2543</v>
      </c>
      <c r="Z7" s="3476"/>
      <c r="AA7" s="773">
        <f>D7/F7</f>
        <v>1.0050251256281406</v>
      </c>
      <c r="AB7" s="773">
        <f>D7/H7</f>
        <v>1.0309278350515463</v>
      </c>
      <c r="AC7" s="773">
        <f>D7/J7</f>
        <v>1.0471204188481675</v>
      </c>
    </row>
    <row r="8" spans="1:30" s="117" customFormat="1" ht="16" thickBot="1">
      <c r="A8" s="408" t="s">
        <v>2544</v>
      </c>
      <c r="B8" s="409"/>
      <c r="C8" s="414" t="s">
        <v>2545</v>
      </c>
      <c r="D8" s="411">
        <v>100</v>
      </c>
      <c r="E8" s="414" t="s">
        <v>3432</v>
      </c>
      <c r="F8" s="413">
        <f>SUMIF(73:73,E8,74:74)-SUMIF(73:73,C8,74:74)+100</f>
        <v>100</v>
      </c>
      <c r="G8" s="414" t="s">
        <v>3432</v>
      </c>
      <c r="H8" s="411">
        <f>SUMIF(73:73,G8,74:74)-SUMIF(73:73,C8,74:74)+100</f>
        <v>100</v>
      </c>
      <c r="I8" s="414" t="s">
        <v>3432</v>
      </c>
      <c r="J8" s="411">
        <f>SUMIF(73:73,I8,74:74)-SUMIF(73:73,C8,74:74)+100</f>
        <v>100</v>
      </c>
      <c r="K8" s="611"/>
      <c r="L8" s="2978" t="s">
        <v>3400</v>
      </c>
      <c r="M8" s="2982"/>
      <c r="N8" s="2982">
        <v>1</v>
      </c>
      <c r="O8" s="2982">
        <f>'土地案例（南昌县-商业）'!AC3</f>
        <v>0.52</v>
      </c>
      <c r="P8" s="3475" t="s">
        <v>2546</v>
      </c>
      <c r="Q8" s="3476"/>
      <c r="R8" s="770" t="s">
        <v>17</v>
      </c>
      <c r="S8" s="771">
        <f t="shared" si="0"/>
        <v>100</v>
      </c>
      <c r="T8" s="770" t="s">
        <v>17</v>
      </c>
      <c r="U8" s="771">
        <f t="shared" si="1"/>
        <v>100</v>
      </c>
      <c r="V8" s="770" t="s">
        <v>17</v>
      </c>
      <c r="W8" s="771">
        <f t="shared" si="2"/>
        <v>100</v>
      </c>
      <c r="X8" s="772"/>
      <c r="Y8" s="3475" t="s">
        <v>2546</v>
      </c>
      <c r="Z8" s="3476"/>
      <c r="AA8" s="773">
        <f t="shared" ref="AA8:AA45" si="3">D8/F8</f>
        <v>1</v>
      </c>
      <c r="AB8" s="773">
        <f t="shared" ref="AB8:AB45" si="4">D8/H8</f>
        <v>1</v>
      </c>
      <c r="AC8" s="773">
        <f t="shared" ref="AC8:AC45" si="5">D8/J8</f>
        <v>1</v>
      </c>
    </row>
    <row r="9" spans="1:30" s="117" customFormat="1" ht="15">
      <c r="A9" s="415" t="s">
        <v>2547</v>
      </c>
      <c r="B9" s="71" t="s">
        <v>2548</v>
      </c>
      <c r="C9" s="2699"/>
      <c r="D9" s="135">
        <v>100</v>
      </c>
      <c r="E9" s="2699"/>
      <c r="F9" s="135">
        <f>SUMIF(75:75,E9,76:76)-SUMIF(75:75,C9,76:76)+100</f>
        <v>100</v>
      </c>
      <c r="G9" s="2699"/>
      <c r="H9" s="135">
        <f>SUMIF(75:75,G9,76:76)-SUMIF(75:75,C9,76:76)+100</f>
        <v>100</v>
      </c>
      <c r="I9" s="2699"/>
      <c r="J9" s="135">
        <f>SUMIF(75:75,I9,76:76)-SUMIF(75:75,C9,76:76)+100</f>
        <v>100</v>
      </c>
      <c r="K9" s="611"/>
      <c r="L9" s="2983"/>
      <c r="M9" s="2983" t="s">
        <v>4165</v>
      </c>
      <c r="N9" s="2983"/>
      <c r="O9" s="2981"/>
      <c r="P9" s="3489" t="s">
        <v>2549</v>
      </c>
      <c r="Q9" s="2953" t="str">
        <f t="shared" ref="Q9:Q15" si="6">B9</f>
        <v>用途</v>
      </c>
      <c r="R9" s="770" t="s">
        <v>17</v>
      </c>
      <c r="S9" s="771">
        <f t="shared" si="0"/>
        <v>100</v>
      </c>
      <c r="T9" s="770" t="s">
        <v>17</v>
      </c>
      <c r="U9" s="771">
        <f t="shared" si="1"/>
        <v>100</v>
      </c>
      <c r="V9" s="770" t="s">
        <v>17</v>
      </c>
      <c r="W9" s="771">
        <f t="shared" si="2"/>
        <v>100</v>
      </c>
      <c r="X9" s="772"/>
      <c r="Y9" s="3219" t="s">
        <v>2550</v>
      </c>
      <c r="Z9" s="2954" t="str">
        <f t="shared" ref="Z9:Z15" si="7">Q9</f>
        <v>用途</v>
      </c>
      <c r="AA9" s="773">
        <f t="shared" si="3"/>
        <v>1</v>
      </c>
      <c r="AB9" s="773">
        <f t="shared" si="4"/>
        <v>1</v>
      </c>
      <c r="AC9" s="773">
        <f t="shared" si="5"/>
        <v>1</v>
      </c>
    </row>
    <row r="10" spans="1:30" s="427" customFormat="1" ht="30">
      <c r="A10" s="421"/>
      <c r="B10" s="2955" t="s">
        <v>2551</v>
      </c>
      <c r="C10" s="432"/>
      <c r="D10" s="136">
        <v>100</v>
      </c>
      <c r="E10" s="465"/>
      <c r="F10" s="136">
        <f>ROUND(100/'数据-取费表'!G16,0)</f>
        <v>102</v>
      </c>
      <c r="G10" s="463"/>
      <c r="H10" s="136">
        <f>ROUND(100/'数据-取费表'!G16,0)</f>
        <v>102</v>
      </c>
      <c r="I10" s="463"/>
      <c r="J10" s="136">
        <f>ROUND(100/'数据-取费表'!G16,0)</f>
        <v>102</v>
      </c>
      <c r="K10" s="672"/>
      <c r="L10" s="2980" t="s">
        <v>3397</v>
      </c>
      <c r="M10" s="2984">
        <f>ROUND(M5*O8/O5,0)</f>
        <v>2301</v>
      </c>
      <c r="N10" s="2981"/>
      <c r="O10" s="2985"/>
      <c r="P10" s="3489"/>
      <c r="Q10" s="2953" t="str">
        <f t="shared" si="6"/>
        <v>土地使用年限（年）</v>
      </c>
      <c r="R10" s="770" t="s">
        <v>17</v>
      </c>
      <c r="S10" s="771">
        <f t="shared" si="0"/>
        <v>102</v>
      </c>
      <c r="T10" s="770" t="s">
        <v>17</v>
      </c>
      <c r="U10" s="771">
        <f t="shared" si="1"/>
        <v>102</v>
      </c>
      <c r="V10" s="770" t="s">
        <v>17</v>
      </c>
      <c r="W10" s="771">
        <f t="shared" si="2"/>
        <v>102</v>
      </c>
      <c r="X10" s="772"/>
      <c r="Y10" s="3219"/>
      <c r="Z10" s="2954" t="str">
        <f t="shared" si="7"/>
        <v>土地使用年限（年）</v>
      </c>
      <c r="AA10" s="773">
        <f t="shared" si="3"/>
        <v>0.98039215686274506</v>
      </c>
      <c r="AB10" s="773">
        <f t="shared" si="4"/>
        <v>0.98039215686274506</v>
      </c>
      <c r="AC10" s="773">
        <f t="shared" si="5"/>
        <v>0.98039215686274506</v>
      </c>
    </row>
    <row r="11" spans="1:30" ht="16">
      <c r="A11" s="428"/>
      <c r="B11" s="2955" t="s">
        <v>2552</v>
      </c>
      <c r="C11" s="429"/>
      <c r="D11" s="136">
        <v>100</v>
      </c>
      <c r="E11" s="429"/>
      <c r="F11" s="136">
        <f>LOOKUP(E11,80:80,81:81)-LOOKUP(C11,80:80,81:81)+100</f>
        <v>100</v>
      </c>
      <c r="G11" s="430"/>
      <c r="H11" s="136">
        <f>LOOKUP(G11,80:80,81:81)-LOOKUP(C11,80:80,81:81)+100</f>
        <v>100</v>
      </c>
      <c r="I11" s="429"/>
      <c r="J11" s="136">
        <f>LOOKUP(I11,80:80,81:81)-LOOKUP(C11,80:80,81:81)+100</f>
        <v>100</v>
      </c>
      <c r="K11" s="673"/>
      <c r="L11" s="2980" t="s">
        <v>3398</v>
      </c>
      <c r="M11" s="2981">
        <f>ROUND(M6*O8/O6,0)</f>
        <v>1800</v>
      </c>
      <c r="N11" s="2981"/>
      <c r="O11" s="2985"/>
      <c r="P11" s="3489"/>
      <c r="Q11" s="2953" t="str">
        <f t="shared" si="6"/>
        <v>容积率</v>
      </c>
      <c r="R11" s="770" t="s">
        <v>17</v>
      </c>
      <c r="S11" s="771">
        <f t="shared" si="0"/>
        <v>100</v>
      </c>
      <c r="T11" s="770" t="s">
        <v>17</v>
      </c>
      <c r="U11" s="771">
        <f t="shared" si="1"/>
        <v>100</v>
      </c>
      <c r="V11" s="770" t="s">
        <v>17</v>
      </c>
      <c r="W11" s="771">
        <f t="shared" si="2"/>
        <v>100</v>
      </c>
      <c r="X11" s="772"/>
      <c r="Y11" s="3219"/>
      <c r="Z11" s="2954" t="str">
        <f t="shared" si="7"/>
        <v>容积率</v>
      </c>
      <c r="AA11" s="773">
        <f t="shared" si="3"/>
        <v>1</v>
      </c>
      <c r="AB11" s="773">
        <f t="shared" si="4"/>
        <v>1</v>
      </c>
      <c r="AC11" s="773">
        <f t="shared" si="5"/>
        <v>1</v>
      </c>
    </row>
    <row r="12" spans="1:30" s="117" customFormat="1" ht="16">
      <c r="A12" s="431"/>
      <c r="B12" s="2600" t="s">
        <v>2741</v>
      </c>
      <c r="C12" s="432"/>
      <c r="D12" s="433">
        <v>100</v>
      </c>
      <c r="E12" s="465"/>
      <c r="F12" s="136">
        <f>SUMIF(82:82,E12,83:83)-SUMIF(82:82,C12,83:83)+100</f>
        <v>100</v>
      </c>
      <c r="G12" s="463"/>
      <c r="H12" s="136">
        <f>SUMIF(82:82,G12,83:83)-SUMIF(82:82,C12,83:83)+100</f>
        <v>100</v>
      </c>
      <c r="I12" s="465"/>
      <c r="J12" s="136">
        <f>SUMIF(82:82,I12,83:83)-SUMIF(82:82,C12,83:83)+100</f>
        <v>100</v>
      </c>
      <c r="K12" s="672"/>
      <c r="L12" s="2980" t="s">
        <v>3399</v>
      </c>
      <c r="M12" s="2982">
        <f>ROUND(M7*O8/O7,0)</f>
        <v>1649</v>
      </c>
      <c r="N12" s="2981"/>
      <c r="O12" s="2985"/>
      <c r="P12" s="3489"/>
      <c r="Q12" s="2953" t="str">
        <f t="shared" si="6"/>
        <v>配建</v>
      </c>
      <c r="R12" s="770" t="s">
        <v>17</v>
      </c>
      <c r="S12" s="771">
        <f t="shared" si="0"/>
        <v>100</v>
      </c>
      <c r="T12" s="770" t="s">
        <v>17</v>
      </c>
      <c r="U12" s="771">
        <f t="shared" si="1"/>
        <v>100</v>
      </c>
      <c r="V12" s="770" t="s">
        <v>17</v>
      </c>
      <c r="W12" s="771">
        <f t="shared" si="2"/>
        <v>100</v>
      </c>
      <c r="X12" s="772"/>
      <c r="Y12" s="3219"/>
      <c r="Z12" s="2954" t="str">
        <f t="shared" si="7"/>
        <v>配建</v>
      </c>
      <c r="AA12" s="773">
        <f>D12/F12</f>
        <v>1</v>
      </c>
      <c r="AB12" s="773">
        <f>D12/H12</f>
        <v>1</v>
      </c>
      <c r="AC12" s="773">
        <f>D12/J12</f>
        <v>1</v>
      </c>
    </row>
    <row r="13" spans="1:30" ht="16">
      <c r="A13" s="428"/>
      <c r="B13" s="2600" t="s">
        <v>3433</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489"/>
      <c r="Q13" s="2953" t="str">
        <f t="shared" si="6"/>
        <v>限价</v>
      </c>
      <c r="R13" s="770" t="s">
        <v>17</v>
      </c>
      <c r="S13" s="771">
        <f t="shared" si="0"/>
        <v>100</v>
      </c>
      <c r="T13" s="770" t="s">
        <v>17</v>
      </c>
      <c r="U13" s="771">
        <f t="shared" si="1"/>
        <v>100</v>
      </c>
      <c r="V13" s="770" t="s">
        <v>17</v>
      </c>
      <c r="W13" s="771">
        <f t="shared" si="2"/>
        <v>100</v>
      </c>
      <c r="X13" s="772"/>
      <c r="Y13" s="3219"/>
      <c r="Z13" s="2954" t="str">
        <f t="shared" si="7"/>
        <v>限价</v>
      </c>
      <c r="AA13" s="773">
        <f>D13/F13</f>
        <v>1</v>
      </c>
      <c r="AB13" s="773">
        <f>D13/H13</f>
        <v>1</v>
      </c>
      <c r="AC13" s="773">
        <f>D13/J13</f>
        <v>1</v>
      </c>
    </row>
    <row r="14" spans="1:30" ht="17" thickBot="1">
      <c r="A14" s="436"/>
      <c r="B14" s="2602"/>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489"/>
      <c r="Q14" s="2953">
        <f t="shared" si="6"/>
        <v>0</v>
      </c>
      <c r="R14" s="770" t="s">
        <v>17</v>
      </c>
      <c r="S14" s="771">
        <f t="shared" si="0"/>
        <v>100</v>
      </c>
      <c r="T14" s="770" t="s">
        <v>17</v>
      </c>
      <c r="U14" s="771">
        <f t="shared" si="1"/>
        <v>100</v>
      </c>
      <c r="V14" s="770" t="s">
        <v>17</v>
      </c>
      <c r="W14" s="771">
        <f t="shared" si="2"/>
        <v>100</v>
      </c>
      <c r="X14" s="772"/>
      <c r="Y14" s="3219"/>
      <c r="Z14" s="2954">
        <f t="shared" si="7"/>
        <v>0</v>
      </c>
      <c r="AA14" s="773">
        <f>D14/F14</f>
        <v>1</v>
      </c>
      <c r="AB14" s="773">
        <f>D14/H14</f>
        <v>1</v>
      </c>
      <c r="AC14" s="773">
        <f>D14/J14</f>
        <v>1</v>
      </c>
    </row>
    <row r="15" spans="1:30" ht="105">
      <c r="A15" s="440" t="s">
        <v>2553</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2"/>
      <c r="J15" s="441">
        <f>SUMIF(88:88,I16,89:89)-SUMIF(88:88,C16,89:89)+100</f>
        <v>105</v>
      </c>
      <c r="K15" s="673">
        <v>5</v>
      </c>
      <c r="L15" s="1140"/>
      <c r="M15" s="1131"/>
      <c r="N15" s="1131"/>
      <c r="O15" s="1139"/>
      <c r="P15" s="3504" t="s">
        <v>2554</v>
      </c>
      <c r="Q15" s="2956" t="str">
        <f t="shared" si="6"/>
        <v>居住社区成熟度</v>
      </c>
      <c r="R15" s="774" t="s">
        <v>17</v>
      </c>
      <c r="S15" s="775">
        <f t="shared" si="0"/>
        <v>105</v>
      </c>
      <c r="T15" s="774" t="s">
        <v>17</v>
      </c>
      <c r="U15" s="775">
        <f t="shared" si="1"/>
        <v>105</v>
      </c>
      <c r="V15" s="774" t="s">
        <v>17</v>
      </c>
      <c r="W15" s="775">
        <f t="shared" si="2"/>
        <v>105</v>
      </c>
      <c r="X15" s="2958"/>
      <c r="Y15" s="3504" t="s">
        <v>2554</v>
      </c>
      <c r="Z15" s="2959" t="str">
        <f t="shared" si="7"/>
        <v>居住社区成熟度</v>
      </c>
      <c r="AA15" s="2957">
        <f t="shared" si="3"/>
        <v>0.95238095238095233</v>
      </c>
      <c r="AB15" s="2957">
        <f t="shared" si="4"/>
        <v>0.95238095238095233</v>
      </c>
      <c r="AC15" s="2957">
        <f t="shared" si="5"/>
        <v>0.95238095238095233</v>
      </c>
    </row>
    <row r="16" spans="1:30" ht="16">
      <c r="A16" s="428"/>
      <c r="B16" s="446"/>
      <c r="C16" s="447" t="s">
        <v>3437</v>
      </c>
      <c r="D16" s="448"/>
      <c r="E16" s="2605" t="s">
        <v>3438</v>
      </c>
      <c r="F16" s="448"/>
      <c r="G16" s="2605" t="s">
        <v>3438</v>
      </c>
      <c r="H16" s="450"/>
      <c r="I16" s="2605" t="s">
        <v>3438</v>
      </c>
      <c r="J16" s="448"/>
      <c r="K16" s="672"/>
      <c r="L16" s="1140"/>
      <c r="M16" s="1131"/>
      <c r="N16" s="1131"/>
      <c r="O16" s="1139"/>
      <c r="P16" s="3505"/>
      <c r="Q16" s="2956"/>
      <c r="R16" s="774"/>
      <c r="S16" s="775"/>
      <c r="T16" s="774"/>
      <c r="U16" s="775"/>
      <c r="V16" s="774"/>
      <c r="W16" s="775"/>
      <c r="X16" s="2958"/>
      <c r="Y16" s="3505"/>
      <c r="Z16" s="2959"/>
      <c r="AA16" s="2957">
        <v>1</v>
      </c>
      <c r="AB16" s="2957">
        <v>1</v>
      </c>
      <c r="AC16" s="2957">
        <v>1</v>
      </c>
    </row>
    <row r="17" spans="1:29" ht="75">
      <c r="A17" s="428"/>
      <c r="B17" s="451" t="s">
        <v>2647</v>
      </c>
      <c r="C17" s="2664" t="str">
        <f>估价对象房地状况!C16</f>
        <v>估价对象位于XX商圈，周边商业氛围成熟，人流量大，商业繁华度好</v>
      </c>
      <c r="D17" s="450">
        <v>100</v>
      </c>
      <c r="E17" s="452"/>
      <c r="F17" s="450">
        <f>SUMIF(90:90,E18,91:91)-SUMIF(90:90,C18,91:91)+100</f>
        <v>103</v>
      </c>
      <c r="G17" s="452"/>
      <c r="H17" s="455">
        <f>SUMIF(90:90,G18,91:91)-SUMIF(90:90,C18,91:91)+100</f>
        <v>103</v>
      </c>
      <c r="I17" s="452"/>
      <c r="J17" s="455">
        <f>SUMIF(90:90,I18,91:91)-SUMIF(90:90,C18,91:91)+100</f>
        <v>103</v>
      </c>
      <c r="K17" s="673">
        <v>3</v>
      </c>
      <c r="L17" s="1140"/>
      <c r="M17" s="1131"/>
      <c r="N17" s="1131"/>
      <c r="O17" s="1139"/>
      <c r="P17" s="3505"/>
      <c r="Q17" s="2956" t="str">
        <f>B17</f>
        <v>商业繁华度</v>
      </c>
      <c r="R17" s="774" t="s">
        <v>17</v>
      </c>
      <c r="S17" s="775">
        <f>F17</f>
        <v>103</v>
      </c>
      <c r="T17" s="774" t="s">
        <v>17</v>
      </c>
      <c r="U17" s="775">
        <f>H17</f>
        <v>103</v>
      </c>
      <c r="V17" s="774" t="s">
        <v>17</v>
      </c>
      <c r="W17" s="775">
        <f>J17</f>
        <v>103</v>
      </c>
      <c r="X17" s="2958"/>
      <c r="Y17" s="3505"/>
      <c r="Z17" s="2959" t="str">
        <f>Q17</f>
        <v>商业繁华度</v>
      </c>
      <c r="AA17" s="2957">
        <f t="shared" si="3"/>
        <v>0.970873786407767</v>
      </c>
      <c r="AB17" s="2957">
        <f t="shared" si="4"/>
        <v>0.970873786407767</v>
      </c>
      <c r="AC17" s="2957">
        <f t="shared" si="5"/>
        <v>0.970873786407767</v>
      </c>
    </row>
    <row r="18" spans="1:29" ht="16">
      <c r="A18" s="428"/>
      <c r="B18" s="456"/>
      <c r="C18" s="2608" t="s">
        <v>3437</v>
      </c>
      <c r="D18" s="450"/>
      <c r="E18" s="2610" t="s">
        <v>3438</v>
      </c>
      <c r="F18" s="450"/>
      <c r="G18" s="2610" t="s">
        <v>3438</v>
      </c>
      <c r="H18" s="448"/>
      <c r="I18" s="2610" t="s">
        <v>3438</v>
      </c>
      <c r="J18" s="448"/>
      <c r="K18" s="672"/>
      <c r="L18" s="1140"/>
      <c r="M18" s="1131"/>
      <c r="N18" s="1131"/>
      <c r="O18" s="1139"/>
      <c r="P18" s="3505"/>
      <c r="Q18" s="2956"/>
      <c r="R18" s="774"/>
      <c r="S18" s="775"/>
      <c r="T18" s="774"/>
      <c r="U18" s="775"/>
      <c r="V18" s="774"/>
      <c r="W18" s="775"/>
      <c r="X18" s="2958"/>
      <c r="Y18" s="3505"/>
      <c r="Z18" s="2959"/>
      <c r="AA18" s="2957">
        <v>1</v>
      </c>
      <c r="AB18" s="2957">
        <v>1</v>
      </c>
      <c r="AC18" s="2957">
        <v>1</v>
      </c>
    </row>
    <row r="19" spans="1:29" ht="75">
      <c r="A19" s="428"/>
      <c r="B19" s="451" t="s">
        <v>2681</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40"/>
      <c r="M19" s="1131"/>
      <c r="N19" s="1131"/>
      <c r="O19" s="1139"/>
      <c r="P19" s="3505"/>
      <c r="Q19" s="2956" t="str">
        <f>B19</f>
        <v>办公集聚程度</v>
      </c>
      <c r="R19" s="774" t="s">
        <v>17</v>
      </c>
      <c r="S19" s="775">
        <f>F19</f>
        <v>100</v>
      </c>
      <c r="T19" s="774" t="s">
        <v>17</v>
      </c>
      <c r="U19" s="775">
        <f>H19</f>
        <v>100</v>
      </c>
      <c r="V19" s="774" t="s">
        <v>17</v>
      </c>
      <c r="W19" s="775">
        <f>J19</f>
        <v>100</v>
      </c>
      <c r="X19" s="2958"/>
      <c r="Y19" s="3505"/>
      <c r="Z19" s="2959" t="str">
        <f>Q19</f>
        <v>办公集聚程度</v>
      </c>
      <c r="AA19" s="2957">
        <f t="shared" si="3"/>
        <v>1</v>
      </c>
      <c r="AB19" s="2957">
        <f t="shared" si="4"/>
        <v>1</v>
      </c>
      <c r="AC19" s="2957">
        <f t="shared" si="5"/>
        <v>1</v>
      </c>
    </row>
    <row r="20" spans="1:29" ht="16">
      <c r="A20" s="428"/>
      <c r="B20" s="456"/>
      <c r="C20" s="447"/>
      <c r="D20" s="448"/>
      <c r="E20" s="2605"/>
      <c r="F20" s="448"/>
      <c r="G20" s="2605"/>
      <c r="H20" s="448"/>
      <c r="I20" s="2605"/>
      <c r="J20" s="448"/>
      <c r="K20" s="672"/>
      <c r="L20" s="1140"/>
      <c r="M20" s="1131"/>
      <c r="N20" s="1131"/>
      <c r="O20" s="1139"/>
      <c r="P20" s="3505"/>
      <c r="Q20" s="2956"/>
      <c r="R20" s="774"/>
      <c r="S20" s="775"/>
      <c r="T20" s="774"/>
      <c r="U20" s="775"/>
      <c r="V20" s="774"/>
      <c r="W20" s="775"/>
      <c r="X20" s="2958"/>
      <c r="Y20" s="3505"/>
      <c r="Z20" s="2959"/>
      <c r="AA20" s="2957">
        <v>1</v>
      </c>
      <c r="AB20" s="2957">
        <v>1</v>
      </c>
      <c r="AC20" s="2957">
        <v>1</v>
      </c>
    </row>
    <row r="21" spans="1:29" ht="90">
      <c r="A21" s="428"/>
      <c r="B21" s="451" t="s">
        <v>2703</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3"/>
      <c r="L21" s="1140"/>
      <c r="M21" s="1131"/>
      <c r="N21" s="1131"/>
      <c r="O21" s="1139"/>
      <c r="P21" s="3505"/>
      <c r="Q21" s="2956" t="str">
        <f>B21</f>
        <v>交通便捷度</v>
      </c>
      <c r="R21" s="774" t="s">
        <v>17</v>
      </c>
      <c r="S21" s="775">
        <f>F21</f>
        <v>100</v>
      </c>
      <c r="T21" s="774" t="s">
        <v>17</v>
      </c>
      <c r="U21" s="775">
        <f>H21</f>
        <v>100</v>
      </c>
      <c r="V21" s="774" t="s">
        <v>17</v>
      </c>
      <c r="W21" s="775">
        <f>J21</f>
        <v>100</v>
      </c>
      <c r="X21" s="2958"/>
      <c r="Y21" s="3505"/>
      <c r="Z21" s="2959" t="str">
        <f>Q21</f>
        <v>交通便捷度</v>
      </c>
      <c r="AA21" s="2957">
        <f t="shared" si="3"/>
        <v>1</v>
      </c>
      <c r="AB21" s="2957">
        <f t="shared" si="4"/>
        <v>1</v>
      </c>
      <c r="AC21" s="2957">
        <f t="shared" si="5"/>
        <v>1</v>
      </c>
    </row>
    <row r="22" spans="1:29" ht="16">
      <c r="A22" s="428"/>
      <c r="B22" s="1384"/>
      <c r="C22" s="447"/>
      <c r="D22" s="450"/>
      <c r="E22" s="2605"/>
      <c r="F22" s="448"/>
      <c r="G22" s="2605"/>
      <c r="H22" s="448"/>
      <c r="I22" s="2605"/>
      <c r="J22" s="448"/>
      <c r="K22" s="672"/>
      <c r="L22" s="1140"/>
      <c r="M22" s="1131"/>
      <c r="N22" s="1131"/>
      <c r="O22" s="1139"/>
      <c r="P22" s="3505"/>
      <c r="Q22" s="2956"/>
      <c r="R22" s="774"/>
      <c r="S22" s="775"/>
      <c r="T22" s="774"/>
      <c r="U22" s="775"/>
      <c r="V22" s="774"/>
      <c r="W22" s="775"/>
      <c r="X22" s="2958"/>
      <c r="Y22" s="3505"/>
      <c r="Z22" s="2959"/>
      <c r="AA22" s="2957">
        <v>1</v>
      </c>
      <c r="AB22" s="2957">
        <v>1</v>
      </c>
      <c r="AC22" s="2957">
        <v>1</v>
      </c>
    </row>
    <row r="23" spans="1:29" ht="16">
      <c r="A23" s="404"/>
      <c r="B23" s="451" t="s">
        <v>2742</v>
      </c>
      <c r="C23" s="1389">
        <f>估价对象房地状况!C19</f>
        <v>0</v>
      </c>
      <c r="D23" s="455">
        <v>100</v>
      </c>
      <c r="E23" s="454"/>
      <c r="F23" s="455">
        <f>SUMIF(96:96,E24,97:97)-SUMIF(96:96,C24,97:97)+100</f>
        <v>100</v>
      </c>
      <c r="G23" s="454"/>
      <c r="H23" s="455">
        <f>SUMIF(96:96,G24,97:97)-SUMIF(96:96,C24,97:97)+100</f>
        <v>100</v>
      </c>
      <c r="I23" s="454"/>
      <c r="J23" s="455">
        <f>SUMIF(96:96,I24,97:97)-SUMIF(96:96,C24,97:97)+100</f>
        <v>100</v>
      </c>
      <c r="K23" s="673"/>
      <c r="L23" s="1140"/>
      <c r="M23" s="1131"/>
      <c r="N23" s="1131"/>
      <c r="O23" s="1139"/>
      <c r="P23" s="3505"/>
      <c r="Q23" s="2956" t="str">
        <f t="shared" ref="Q23:Q37" si="8">B23</f>
        <v>区域土地利用方向</v>
      </c>
      <c r="R23" s="774" t="s">
        <v>17</v>
      </c>
      <c r="S23" s="775">
        <f>F23</f>
        <v>100</v>
      </c>
      <c r="T23" s="774" t="s">
        <v>17</v>
      </c>
      <c r="U23" s="775">
        <f>H23</f>
        <v>100</v>
      </c>
      <c r="V23" s="774" t="s">
        <v>17</v>
      </c>
      <c r="W23" s="775">
        <f>J23</f>
        <v>100</v>
      </c>
      <c r="X23" s="2958"/>
      <c r="Y23" s="3505"/>
      <c r="Z23" s="2959" t="str">
        <f>Q23</f>
        <v>区域土地利用方向</v>
      </c>
      <c r="AA23" s="2957">
        <f t="shared" si="3"/>
        <v>1</v>
      </c>
      <c r="AB23" s="2957">
        <f t="shared" si="4"/>
        <v>1</v>
      </c>
      <c r="AC23" s="2957">
        <f t="shared" si="5"/>
        <v>1</v>
      </c>
    </row>
    <row r="24" spans="1:29" ht="16">
      <c r="A24" s="404"/>
      <c r="B24" s="456"/>
      <c r="C24" s="616"/>
      <c r="D24" s="448"/>
      <c r="E24" s="2604"/>
      <c r="F24" s="448"/>
      <c r="G24" s="2604"/>
      <c r="H24" s="448"/>
      <c r="I24" s="2604"/>
      <c r="J24" s="448"/>
      <c r="K24" s="812"/>
      <c r="L24" s="1140"/>
      <c r="M24" s="1131"/>
      <c r="N24" s="1131"/>
      <c r="O24" s="1139"/>
      <c r="P24" s="3505"/>
      <c r="Q24" s="2956"/>
      <c r="R24" s="774"/>
      <c r="S24" s="775"/>
      <c r="T24" s="774"/>
      <c r="U24" s="775"/>
      <c r="V24" s="774"/>
      <c r="W24" s="775"/>
      <c r="X24" s="2958"/>
      <c r="Y24" s="3505"/>
      <c r="Z24" s="2959"/>
      <c r="AA24" s="2957"/>
      <c r="AB24" s="2957"/>
      <c r="AC24" s="2957"/>
    </row>
    <row r="25" spans="1:29" ht="60">
      <c r="A25" s="404"/>
      <c r="B25" s="1384" t="s">
        <v>2743</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c r="L25" s="1140"/>
      <c r="M25" s="1131"/>
      <c r="N25" s="1131"/>
      <c r="O25" s="1139"/>
      <c r="P25" s="3505"/>
      <c r="Q25" s="2956" t="str">
        <f t="shared" si="8"/>
        <v>自然及人文环境状况</v>
      </c>
      <c r="R25" s="774" t="s">
        <v>17</v>
      </c>
      <c r="S25" s="775">
        <f>F25</f>
        <v>100</v>
      </c>
      <c r="T25" s="774" t="s">
        <v>17</v>
      </c>
      <c r="U25" s="775">
        <f>H25</f>
        <v>100</v>
      </c>
      <c r="V25" s="774" t="s">
        <v>17</v>
      </c>
      <c r="W25" s="775">
        <f>J25</f>
        <v>100</v>
      </c>
      <c r="X25" s="2958"/>
      <c r="Y25" s="3505"/>
      <c r="Z25" s="2959" t="str">
        <f>Q25</f>
        <v>自然及人文环境状况</v>
      </c>
      <c r="AA25" s="2957">
        <f t="shared" si="3"/>
        <v>1</v>
      </c>
      <c r="AB25" s="2957">
        <f t="shared" si="4"/>
        <v>1</v>
      </c>
      <c r="AC25" s="2957">
        <f t="shared" si="5"/>
        <v>1</v>
      </c>
    </row>
    <row r="26" spans="1:29" ht="16">
      <c r="A26" s="404"/>
      <c r="B26" s="456"/>
      <c r="C26" s="447"/>
      <c r="D26" s="448"/>
      <c r="E26" s="2611"/>
      <c r="F26" s="448"/>
      <c r="G26" s="2611"/>
      <c r="H26" s="448"/>
      <c r="I26" s="2611"/>
      <c r="J26" s="448"/>
      <c r="K26" s="672"/>
      <c r="L26" s="1140"/>
      <c r="M26" s="1131"/>
      <c r="N26" s="1131"/>
      <c r="O26" s="1139"/>
      <c r="P26" s="3505"/>
      <c r="Q26" s="2956"/>
      <c r="R26" s="774"/>
      <c r="S26" s="775"/>
      <c r="T26" s="774"/>
      <c r="U26" s="775"/>
      <c r="V26" s="774"/>
      <c r="W26" s="775"/>
      <c r="X26" s="2958"/>
      <c r="Y26" s="3505"/>
      <c r="Z26" s="2959"/>
      <c r="AA26" s="2957">
        <v>1</v>
      </c>
      <c r="AB26" s="2957">
        <v>1</v>
      </c>
      <c r="AC26" s="2957">
        <v>1</v>
      </c>
    </row>
    <row r="27" spans="1:29" s="117" customFormat="1" ht="45">
      <c r="A27" s="649"/>
      <c r="B27" s="1384" t="s">
        <v>2648</v>
      </c>
      <c r="C27" s="2607"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2"/>
      <c r="J27" s="450">
        <f>SUMIF(100:100,I28,101:101)-SUMIF(100:100,C28,101:101)+100</f>
        <v>105</v>
      </c>
      <c r="K27" s="673">
        <v>5</v>
      </c>
      <c r="L27" s="1132"/>
      <c r="M27" s="1133"/>
      <c r="N27" s="1133"/>
      <c r="O27" s="1134"/>
      <c r="P27" s="3505"/>
      <c r="Q27" s="2953" t="str">
        <f t="shared" si="8"/>
        <v>公共配套设施</v>
      </c>
      <c r="R27" s="770" t="s">
        <v>17</v>
      </c>
      <c r="S27" s="771">
        <f>F27</f>
        <v>105</v>
      </c>
      <c r="T27" s="770" t="s">
        <v>17</v>
      </c>
      <c r="U27" s="771">
        <f>H27</f>
        <v>105</v>
      </c>
      <c r="V27" s="770" t="s">
        <v>17</v>
      </c>
      <c r="W27" s="771">
        <f>J27</f>
        <v>105</v>
      </c>
      <c r="X27" s="772"/>
      <c r="Y27" s="3505"/>
      <c r="Z27" s="2954" t="str">
        <f>Q27</f>
        <v>公共配套设施</v>
      </c>
      <c r="AA27" s="2957">
        <f>D27/F27</f>
        <v>0.95238095238095233</v>
      </c>
      <c r="AB27" s="2957">
        <f>D27/H27</f>
        <v>0.95238095238095233</v>
      </c>
      <c r="AC27" s="2957">
        <f>D27/J27</f>
        <v>0.95238095238095233</v>
      </c>
    </row>
    <row r="28" spans="1:29" s="117" customFormat="1" ht="16">
      <c r="A28" s="649"/>
      <c r="B28" s="456"/>
      <c r="C28" s="2700" t="s">
        <v>3437</v>
      </c>
      <c r="D28" s="448"/>
      <c r="E28" s="2611" t="s">
        <v>3438</v>
      </c>
      <c r="F28" s="448"/>
      <c r="G28" s="2611" t="s">
        <v>3438</v>
      </c>
      <c r="H28" s="448"/>
      <c r="I28" s="2611" t="s">
        <v>3438</v>
      </c>
      <c r="J28" s="448"/>
      <c r="K28" s="672"/>
      <c r="L28" s="1132"/>
      <c r="M28" s="1133"/>
      <c r="N28" s="1133"/>
      <c r="O28" s="1134"/>
      <c r="P28" s="3505"/>
      <c r="Q28" s="2953"/>
      <c r="R28" s="770"/>
      <c r="S28" s="771"/>
      <c r="T28" s="770"/>
      <c r="U28" s="771"/>
      <c r="V28" s="770"/>
      <c r="W28" s="771"/>
      <c r="X28" s="772"/>
      <c r="Y28" s="3505"/>
      <c r="Z28" s="2954"/>
      <c r="AA28" s="2957">
        <v>1</v>
      </c>
      <c r="AB28" s="2957">
        <v>1</v>
      </c>
      <c r="AC28" s="2957">
        <v>1</v>
      </c>
    </row>
    <row r="29" spans="1:29" s="117" customFormat="1" ht="30">
      <c r="A29" s="649"/>
      <c r="B29" s="1384" t="s">
        <v>2649</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505"/>
      <c r="Q29" s="2953" t="str">
        <f t="shared" ref="Q29" si="9">B29</f>
        <v>基础设施水平</v>
      </c>
      <c r="R29" s="770" t="s">
        <v>17</v>
      </c>
      <c r="S29" s="771">
        <f>F29</f>
        <v>100</v>
      </c>
      <c r="T29" s="770" t="s">
        <v>17</v>
      </c>
      <c r="U29" s="771">
        <f>H29</f>
        <v>100</v>
      </c>
      <c r="V29" s="770" t="s">
        <v>17</v>
      </c>
      <c r="W29" s="771">
        <f>J29</f>
        <v>100</v>
      </c>
      <c r="X29" s="772"/>
      <c r="Y29" s="3505"/>
      <c r="Z29" s="2954" t="str">
        <f>Q29</f>
        <v>基础设施水平</v>
      </c>
      <c r="AA29" s="2957">
        <f>D29/F29</f>
        <v>1</v>
      </c>
      <c r="AB29" s="2957">
        <f>D29/H29</f>
        <v>1</v>
      </c>
      <c r="AC29" s="2957">
        <f>D29/J29</f>
        <v>1</v>
      </c>
    </row>
    <row r="30" spans="1:29" s="117" customFormat="1" ht="16">
      <c r="A30" s="649"/>
      <c r="B30" s="456"/>
      <c r="C30" s="2700"/>
      <c r="D30" s="448"/>
      <c r="E30" s="2701"/>
      <c r="F30" s="448"/>
      <c r="G30" s="2701"/>
      <c r="H30" s="448"/>
      <c r="I30" s="2701"/>
      <c r="J30" s="448"/>
      <c r="K30" s="672"/>
      <c r="L30" s="1132"/>
      <c r="M30" s="1133"/>
      <c r="N30" s="1133"/>
      <c r="O30" s="1134"/>
      <c r="P30" s="3505"/>
      <c r="Q30" s="2953"/>
      <c r="R30" s="770"/>
      <c r="S30" s="771"/>
      <c r="T30" s="770"/>
      <c r="U30" s="771"/>
      <c r="V30" s="770"/>
      <c r="W30" s="771"/>
      <c r="X30" s="772"/>
      <c r="Y30" s="3505"/>
      <c r="Z30" s="2954"/>
      <c r="AA30" s="2957">
        <v>1</v>
      </c>
      <c r="AB30" s="2957">
        <v>1</v>
      </c>
      <c r="AC30" s="2957">
        <v>1</v>
      </c>
    </row>
    <row r="31" spans="1:29" ht="16">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505"/>
      <c r="Q31" s="2956" t="str">
        <f t="shared" si="8"/>
        <v>临街状况</v>
      </c>
      <c r="R31" s="774" t="s">
        <v>17</v>
      </c>
      <c r="S31" s="775">
        <f t="shared" ref="S31:S45" si="10">F31</f>
        <v>100</v>
      </c>
      <c r="T31" s="774" t="s">
        <v>17</v>
      </c>
      <c r="U31" s="775">
        <f t="shared" ref="U31:U45" si="11">H31</f>
        <v>100</v>
      </c>
      <c r="V31" s="774" t="s">
        <v>17</v>
      </c>
      <c r="W31" s="775">
        <f t="shared" ref="W31:W45" si="12">J31</f>
        <v>100</v>
      </c>
      <c r="X31" s="2958"/>
      <c r="Y31" s="3505"/>
      <c r="Z31" s="2959" t="str">
        <f t="shared" ref="Z31:Z45" si="13">Q31</f>
        <v>临街状况</v>
      </c>
      <c r="AA31" s="2957">
        <f t="shared" si="3"/>
        <v>1</v>
      </c>
      <c r="AB31" s="2957">
        <f t="shared" si="4"/>
        <v>1</v>
      </c>
      <c r="AC31" s="2957">
        <f t="shared" si="5"/>
        <v>1</v>
      </c>
    </row>
    <row r="32" spans="1:29" ht="30">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505"/>
      <c r="Q32" s="2956" t="str">
        <f t="shared" si="8"/>
        <v>毗邻道路的类型与等级</v>
      </c>
      <c r="R32" s="774" t="s">
        <v>17</v>
      </c>
      <c r="S32" s="775">
        <f t="shared" si="10"/>
        <v>100</v>
      </c>
      <c r="T32" s="774" t="s">
        <v>17</v>
      </c>
      <c r="U32" s="775">
        <f t="shared" si="11"/>
        <v>100</v>
      </c>
      <c r="V32" s="774" t="s">
        <v>17</v>
      </c>
      <c r="W32" s="775">
        <f t="shared" si="12"/>
        <v>100</v>
      </c>
      <c r="X32" s="2958"/>
      <c r="Y32" s="3505"/>
      <c r="Z32" s="2959" t="str">
        <f t="shared" si="13"/>
        <v>毗邻道路的类型与等级</v>
      </c>
      <c r="AA32" s="2957">
        <f t="shared" si="3"/>
        <v>1</v>
      </c>
      <c r="AB32" s="2957">
        <f t="shared" si="4"/>
        <v>1</v>
      </c>
      <c r="AC32" s="2957">
        <f t="shared" si="5"/>
        <v>1</v>
      </c>
    </row>
    <row r="33" spans="1:29" ht="16">
      <c r="A33" s="428"/>
      <c r="B33" s="456"/>
      <c r="C33" s="447"/>
      <c r="D33" s="448"/>
      <c r="E33" s="2611"/>
      <c r="F33" s="448"/>
      <c r="G33" s="2611"/>
      <c r="H33" s="448"/>
      <c r="I33" s="447"/>
      <c r="J33" s="448"/>
      <c r="K33" s="613"/>
      <c r="L33" s="1140"/>
      <c r="M33" s="1131"/>
      <c r="N33" s="1131"/>
      <c r="O33" s="1139"/>
      <c r="P33" s="3505"/>
      <c r="Q33" s="2956"/>
      <c r="R33" s="774"/>
      <c r="S33" s="775"/>
      <c r="T33" s="774"/>
      <c r="U33" s="775"/>
      <c r="V33" s="774"/>
      <c r="W33" s="775"/>
      <c r="X33" s="2958"/>
      <c r="Y33" s="3505"/>
      <c r="Z33" s="2959"/>
      <c r="AA33" s="2957">
        <v>1</v>
      </c>
      <c r="AB33" s="2957">
        <v>1</v>
      </c>
      <c r="AC33" s="2957">
        <v>1</v>
      </c>
    </row>
    <row r="34" spans="1:29" ht="16">
      <c r="A34" s="428"/>
      <c r="B34" s="2955"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505"/>
      <c r="Q34" s="2956" t="str">
        <f t="shared" si="8"/>
        <v>土地级别</v>
      </c>
      <c r="R34" s="774" t="s">
        <v>17</v>
      </c>
      <c r="S34" s="775">
        <f t="shared" si="10"/>
        <v>100</v>
      </c>
      <c r="T34" s="774" t="s">
        <v>17</v>
      </c>
      <c r="U34" s="775">
        <f t="shared" si="11"/>
        <v>100</v>
      </c>
      <c r="V34" s="774" t="s">
        <v>17</v>
      </c>
      <c r="W34" s="775">
        <f t="shared" si="12"/>
        <v>100</v>
      </c>
      <c r="X34" s="2958"/>
      <c r="Y34" s="3505"/>
      <c r="Z34" s="2959" t="str">
        <f t="shared" si="13"/>
        <v>土地级别</v>
      </c>
      <c r="AA34" s="2957">
        <f t="shared" si="3"/>
        <v>1</v>
      </c>
      <c r="AB34" s="2957">
        <f t="shared" si="4"/>
        <v>1</v>
      </c>
      <c r="AC34" s="2957">
        <f t="shared" si="5"/>
        <v>1</v>
      </c>
    </row>
    <row r="35" spans="1:29" ht="16">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505"/>
      <c r="Q35" s="2956">
        <f t="shared" si="8"/>
        <v>0</v>
      </c>
      <c r="R35" s="774" t="s">
        <v>17</v>
      </c>
      <c r="S35" s="775">
        <f t="shared" si="10"/>
        <v>100</v>
      </c>
      <c r="T35" s="774" t="s">
        <v>17</v>
      </c>
      <c r="U35" s="775">
        <f t="shared" si="11"/>
        <v>100</v>
      </c>
      <c r="V35" s="774" t="s">
        <v>17</v>
      </c>
      <c r="W35" s="775">
        <f t="shared" si="12"/>
        <v>100</v>
      </c>
      <c r="X35" s="2958"/>
      <c r="Y35" s="3505"/>
      <c r="Z35" s="2959">
        <f t="shared" si="13"/>
        <v>0</v>
      </c>
      <c r="AA35" s="2957">
        <f t="shared" si="3"/>
        <v>1</v>
      </c>
      <c r="AB35" s="2957">
        <f t="shared" si="4"/>
        <v>1</v>
      </c>
      <c r="AC35" s="2957">
        <f t="shared" si="5"/>
        <v>1</v>
      </c>
    </row>
    <row r="36" spans="1:29" ht="16">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506" t="s">
        <v>2559</v>
      </c>
      <c r="Q36" s="2956">
        <f t="shared" si="8"/>
        <v>0</v>
      </c>
      <c r="R36" s="774" t="s">
        <v>17</v>
      </c>
      <c r="S36" s="775">
        <f t="shared" si="10"/>
        <v>100</v>
      </c>
      <c r="T36" s="774" t="s">
        <v>17</v>
      </c>
      <c r="U36" s="775">
        <f t="shared" si="11"/>
        <v>100</v>
      </c>
      <c r="V36" s="774" t="s">
        <v>17</v>
      </c>
      <c r="W36" s="775">
        <f t="shared" si="12"/>
        <v>100</v>
      </c>
      <c r="X36" s="2958"/>
      <c r="Y36" s="3507" t="s">
        <v>2559</v>
      </c>
      <c r="Z36" s="2959">
        <f t="shared" si="13"/>
        <v>0</v>
      </c>
      <c r="AA36" s="2957">
        <f t="shared" si="3"/>
        <v>1</v>
      </c>
      <c r="AB36" s="2957">
        <f t="shared" si="4"/>
        <v>1</v>
      </c>
      <c r="AC36" s="2957">
        <f t="shared" si="5"/>
        <v>1</v>
      </c>
    </row>
    <row r="37" spans="1:29" s="471" customFormat="1" ht="17"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507"/>
      <c r="Q37" s="2956">
        <f t="shared" si="8"/>
        <v>0</v>
      </c>
      <c r="R37" s="777" t="s">
        <v>17</v>
      </c>
      <c r="S37" s="778">
        <f t="shared" si="10"/>
        <v>100</v>
      </c>
      <c r="T37" s="777" t="s">
        <v>17</v>
      </c>
      <c r="U37" s="778">
        <f t="shared" si="11"/>
        <v>100</v>
      </c>
      <c r="V37" s="777" t="s">
        <v>17</v>
      </c>
      <c r="W37" s="778">
        <f t="shared" si="12"/>
        <v>100</v>
      </c>
      <c r="X37" s="779"/>
      <c r="Y37" s="3507"/>
      <c r="Z37" s="780">
        <f t="shared" si="13"/>
        <v>0</v>
      </c>
      <c r="AA37" s="2957">
        <f t="shared" si="3"/>
        <v>1</v>
      </c>
      <c r="AB37" s="2957">
        <f t="shared" si="4"/>
        <v>1</v>
      </c>
      <c r="AC37" s="2957">
        <f t="shared" si="5"/>
        <v>1</v>
      </c>
    </row>
    <row r="38" spans="1:29" ht="20">
      <c r="A38" s="472" t="s">
        <v>2557</v>
      </c>
      <c r="B38" s="456" t="s">
        <v>2745</v>
      </c>
      <c r="C38" s="679">
        <f>'数据-汇总表'!D3</f>
        <v>535778.54</v>
      </c>
      <c r="D38" s="467">
        <v>100</v>
      </c>
      <c r="E38" s="679">
        <f>'土地案例（南昌县-住宅）'!I5</f>
        <v>53404</v>
      </c>
      <c r="F38" s="467">
        <f>LOOKUP(E38,117:117,118:118)-LOOKUP(C38,117:117,118:118)+100</f>
        <v>100</v>
      </c>
      <c r="G38" s="679">
        <f>'土地案例（南昌县-住宅）'!I7</f>
        <v>69928</v>
      </c>
      <c r="H38" s="467">
        <f>LOOKUP(G38,117:117,118:118)-LOOKUP(C38,117:117,118:118)+100</f>
        <v>100</v>
      </c>
      <c r="I38" s="530">
        <f>'土地案例（南昌县-住宅）'!I40</f>
        <v>53860</v>
      </c>
      <c r="J38" s="467">
        <f>LOOKUP(I38,117:117,118:118)-LOOKUP(C38,117:117,118:118)+100</f>
        <v>100</v>
      </c>
      <c r="K38" s="613"/>
      <c r="L38" s="1140"/>
      <c r="M38" s="1131"/>
      <c r="N38" s="1131"/>
      <c r="O38" s="1139"/>
      <c r="P38" s="3507"/>
      <c r="Q38" s="2956" t="str">
        <f>B38</f>
        <v>宗地面积</v>
      </c>
      <c r="R38" s="774" t="s">
        <v>17</v>
      </c>
      <c r="S38" s="775">
        <f t="shared" si="10"/>
        <v>100</v>
      </c>
      <c r="T38" s="774" t="s">
        <v>17</v>
      </c>
      <c r="U38" s="775">
        <f t="shared" si="11"/>
        <v>100</v>
      </c>
      <c r="V38" s="774" t="s">
        <v>17</v>
      </c>
      <c r="W38" s="775">
        <f t="shared" si="12"/>
        <v>100</v>
      </c>
      <c r="X38" s="2958"/>
      <c r="Y38" s="3507"/>
      <c r="Z38" s="2959" t="str">
        <f t="shared" si="13"/>
        <v>宗地面积</v>
      </c>
      <c r="AA38" s="2957">
        <f t="shared" si="3"/>
        <v>1</v>
      </c>
      <c r="AB38" s="2957">
        <f t="shared" si="4"/>
        <v>1</v>
      </c>
      <c r="AC38" s="2957">
        <f t="shared" si="5"/>
        <v>1</v>
      </c>
    </row>
    <row r="39" spans="1:29" ht="16">
      <c r="A39" s="472"/>
      <c r="B39" s="2955" t="s">
        <v>2746</v>
      </c>
      <c r="C39" s="2613" t="s">
        <v>3430</v>
      </c>
      <c r="D39" s="435">
        <v>100</v>
      </c>
      <c r="E39" s="2613" t="s">
        <v>3428</v>
      </c>
      <c r="F39" s="435">
        <f>SUMIF(119:119,E39,120:120)-SUMIF(119:119,C39,120:120)+100</f>
        <v>105</v>
      </c>
      <c r="G39" s="2613" t="s">
        <v>3428</v>
      </c>
      <c r="H39" s="435">
        <f>SUMIF(119:119,G39,120:120)-SUMIF(119:119,C39,120:120)+100</f>
        <v>105</v>
      </c>
      <c r="I39" s="2613" t="s">
        <v>3428</v>
      </c>
      <c r="J39" s="435">
        <f>SUMIF(119:119,I39,120:120)-SUMIF(119:119,C39,120:120)+100</f>
        <v>105</v>
      </c>
      <c r="K39" s="612">
        <v>5</v>
      </c>
      <c r="L39" s="1140"/>
      <c r="M39" s="1131"/>
      <c r="N39" s="1131"/>
      <c r="O39" s="1139"/>
      <c r="P39" s="3507"/>
      <c r="Q39" s="2956" t="str">
        <f t="shared" ref="Q39:Q45" si="14">B39</f>
        <v>宗地形状</v>
      </c>
      <c r="R39" s="774" t="s">
        <v>17</v>
      </c>
      <c r="S39" s="775">
        <f t="shared" si="10"/>
        <v>105</v>
      </c>
      <c r="T39" s="774" t="s">
        <v>17</v>
      </c>
      <c r="U39" s="775">
        <f t="shared" si="11"/>
        <v>105</v>
      </c>
      <c r="V39" s="774" t="s">
        <v>17</v>
      </c>
      <c r="W39" s="775">
        <f t="shared" si="12"/>
        <v>105</v>
      </c>
      <c r="X39" s="2958"/>
      <c r="Y39" s="3507"/>
      <c r="Z39" s="2959" t="str">
        <f t="shared" si="13"/>
        <v>宗地形状</v>
      </c>
      <c r="AA39" s="2957">
        <f t="shared" si="3"/>
        <v>0.95238095238095233</v>
      </c>
      <c r="AB39" s="2957">
        <f t="shared" si="4"/>
        <v>0.95238095238095233</v>
      </c>
      <c r="AC39" s="2957">
        <f t="shared" si="5"/>
        <v>0.95238095238095233</v>
      </c>
    </row>
    <row r="40" spans="1:29" ht="16">
      <c r="A40" s="472"/>
      <c r="B40" s="2955" t="s">
        <v>2747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507"/>
      <c r="Q40" s="2956" t="str">
        <f t="shared" si="14"/>
        <v>临街宽度及深度</v>
      </c>
      <c r="R40" s="774" t="s">
        <v>17</v>
      </c>
      <c r="S40" s="775">
        <f t="shared" si="10"/>
        <v>100</v>
      </c>
      <c r="T40" s="774" t="s">
        <v>17</v>
      </c>
      <c r="U40" s="775">
        <f t="shared" si="11"/>
        <v>100</v>
      </c>
      <c r="V40" s="774" t="s">
        <v>17</v>
      </c>
      <c r="W40" s="775">
        <f t="shared" si="12"/>
        <v>100</v>
      </c>
      <c r="X40" s="2958"/>
      <c r="Y40" s="3507"/>
      <c r="Z40" s="2959" t="str">
        <f t="shared" si="13"/>
        <v>临街宽度及深度</v>
      </c>
      <c r="AA40" s="2957">
        <f t="shared" si="3"/>
        <v>1</v>
      </c>
      <c r="AB40" s="2957">
        <f t="shared" si="4"/>
        <v>1</v>
      </c>
      <c r="AC40" s="2957">
        <f t="shared" si="5"/>
        <v>1</v>
      </c>
    </row>
    <row r="41" spans="1:29" s="117" customFormat="1" ht="16">
      <c r="A41" s="473"/>
      <c r="B41" s="2955" t="s">
        <v>2748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507"/>
      <c r="Q41" s="2956" t="str">
        <f t="shared" si="14"/>
        <v>宗地开发程度</v>
      </c>
      <c r="R41" s="770" t="s">
        <v>17</v>
      </c>
      <c r="S41" s="771">
        <f t="shared" si="10"/>
        <v>100</v>
      </c>
      <c r="T41" s="770" t="s">
        <v>17</v>
      </c>
      <c r="U41" s="771">
        <f t="shared" si="11"/>
        <v>100</v>
      </c>
      <c r="V41" s="770" t="s">
        <v>17</v>
      </c>
      <c r="W41" s="771">
        <f t="shared" si="12"/>
        <v>100</v>
      </c>
      <c r="X41" s="772"/>
      <c r="Y41" s="3507"/>
      <c r="Z41" s="2954" t="str">
        <f t="shared" si="13"/>
        <v>宗地开发程度</v>
      </c>
      <c r="AA41" s="773">
        <f t="shared" si="3"/>
        <v>1</v>
      </c>
      <c r="AB41" s="773">
        <f t="shared" si="4"/>
        <v>1</v>
      </c>
      <c r="AC41" s="773">
        <f t="shared" si="5"/>
        <v>1</v>
      </c>
    </row>
    <row r="42" spans="1:29" ht="16">
      <c r="A42" s="472"/>
      <c r="B42" s="2955" t="s">
        <v>2749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507" t="s">
        <v>2559</v>
      </c>
      <c r="Q42" s="2956" t="str">
        <f t="shared" si="14"/>
        <v>工程地质条件</v>
      </c>
      <c r="R42" s="774" t="s">
        <v>17</v>
      </c>
      <c r="S42" s="775">
        <f t="shared" si="10"/>
        <v>100</v>
      </c>
      <c r="T42" s="774" t="s">
        <v>17</v>
      </c>
      <c r="U42" s="775">
        <f t="shared" si="11"/>
        <v>100</v>
      </c>
      <c r="V42" s="774" t="s">
        <v>17</v>
      </c>
      <c r="W42" s="775">
        <f t="shared" si="12"/>
        <v>100</v>
      </c>
      <c r="X42" s="2958"/>
      <c r="Y42" s="3507" t="s">
        <v>2559</v>
      </c>
      <c r="Z42" s="2959" t="str">
        <f t="shared" si="13"/>
        <v>工程地质条件</v>
      </c>
      <c r="AA42" s="2957">
        <f t="shared" si="3"/>
        <v>1</v>
      </c>
      <c r="AB42" s="2957">
        <f t="shared" si="4"/>
        <v>1</v>
      </c>
      <c r="AC42" s="2957">
        <f t="shared" si="5"/>
        <v>1</v>
      </c>
    </row>
    <row r="43" spans="1:29" ht="16">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507"/>
      <c r="Q43" s="2956">
        <f t="shared" si="14"/>
        <v>0</v>
      </c>
      <c r="R43" s="774" t="s">
        <v>17</v>
      </c>
      <c r="S43" s="775">
        <f t="shared" si="10"/>
        <v>100</v>
      </c>
      <c r="T43" s="774" t="s">
        <v>17</v>
      </c>
      <c r="U43" s="775">
        <f t="shared" si="11"/>
        <v>100</v>
      </c>
      <c r="V43" s="774" t="s">
        <v>17</v>
      </c>
      <c r="W43" s="775">
        <f t="shared" si="12"/>
        <v>100</v>
      </c>
      <c r="X43" s="2958"/>
      <c r="Y43" s="3507"/>
      <c r="Z43" s="2959">
        <f t="shared" si="13"/>
        <v>0</v>
      </c>
      <c r="AA43" s="2957">
        <f t="shared" si="3"/>
        <v>1</v>
      </c>
      <c r="AB43" s="2957">
        <f t="shared" si="4"/>
        <v>1</v>
      </c>
      <c r="AC43" s="2957">
        <f t="shared" si="5"/>
        <v>1</v>
      </c>
    </row>
    <row r="44" spans="1:29" ht="16">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507"/>
      <c r="Q44" s="2956">
        <f t="shared" si="14"/>
        <v>0</v>
      </c>
      <c r="R44" s="774" t="s">
        <v>17</v>
      </c>
      <c r="S44" s="775">
        <f t="shared" si="10"/>
        <v>100</v>
      </c>
      <c r="T44" s="774" t="s">
        <v>17</v>
      </c>
      <c r="U44" s="775">
        <f t="shared" si="11"/>
        <v>100</v>
      </c>
      <c r="V44" s="774" t="s">
        <v>17</v>
      </c>
      <c r="W44" s="775">
        <f t="shared" si="12"/>
        <v>100</v>
      </c>
      <c r="X44" s="2958"/>
      <c r="Y44" s="3507"/>
      <c r="Z44" s="2959">
        <f t="shared" si="13"/>
        <v>0</v>
      </c>
      <c r="AA44" s="2957">
        <f t="shared" si="3"/>
        <v>1</v>
      </c>
      <c r="AB44" s="2957">
        <f t="shared" si="4"/>
        <v>1</v>
      </c>
      <c r="AC44" s="2957">
        <f t="shared" si="5"/>
        <v>1</v>
      </c>
    </row>
    <row r="45" spans="1:29" s="471" customFormat="1" ht="17" thickBot="1">
      <c r="A45" s="468"/>
      <c r="B45" s="1387"/>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507"/>
      <c r="Q45" s="2956">
        <f t="shared" si="14"/>
        <v>0</v>
      </c>
      <c r="R45" s="777" t="s">
        <v>17</v>
      </c>
      <c r="S45" s="778">
        <f t="shared" si="10"/>
        <v>100</v>
      </c>
      <c r="T45" s="777" t="s">
        <v>17</v>
      </c>
      <c r="U45" s="778">
        <f t="shared" si="11"/>
        <v>100</v>
      </c>
      <c r="V45" s="777" t="s">
        <v>17</v>
      </c>
      <c r="W45" s="778">
        <f t="shared" si="12"/>
        <v>100</v>
      </c>
      <c r="X45" s="779"/>
      <c r="Y45" s="3507"/>
      <c r="Z45" s="780">
        <f t="shared" si="13"/>
        <v>0</v>
      </c>
      <c r="AA45" s="2957">
        <f t="shared" si="3"/>
        <v>1</v>
      </c>
      <c r="AB45" s="2957">
        <f t="shared" si="4"/>
        <v>1</v>
      </c>
      <c r="AC45" s="2957">
        <f t="shared" si="5"/>
        <v>1</v>
      </c>
    </row>
    <row r="46" spans="1:29" ht="15">
      <c r="A46" s="479" t="s">
        <v>2714</v>
      </c>
      <c r="B46" s="2704" t="s">
        <v>4178</v>
      </c>
      <c r="C46" s="682" t="s">
        <v>1</v>
      </c>
      <c r="D46" s="481"/>
      <c r="E46" s="482">
        <f>M10</f>
        <v>2301</v>
      </c>
      <c r="F46" s="483"/>
      <c r="G46" s="484">
        <f>M11</f>
        <v>1800</v>
      </c>
      <c r="H46" s="485"/>
      <c r="I46" s="482">
        <f>M12</f>
        <v>1649</v>
      </c>
      <c r="J46" s="485"/>
      <c r="K46" s="783"/>
      <c r="L46" s="1143"/>
      <c r="M46" s="1144"/>
      <c r="N46" s="1131"/>
      <c r="O46" s="1144"/>
      <c r="P46" s="3489" t="str">
        <f>A46</f>
        <v>成交单价</v>
      </c>
      <c r="Q46" s="3489"/>
      <c r="R46" s="3502">
        <f>E46</f>
        <v>2301</v>
      </c>
      <c r="S46" s="3502"/>
      <c r="T46" s="3502">
        <f>G46</f>
        <v>1800</v>
      </c>
      <c r="U46" s="3502"/>
      <c r="V46" s="3502">
        <f>I46</f>
        <v>1649</v>
      </c>
      <c r="W46" s="3502"/>
      <c r="X46" s="759"/>
      <c r="Y46" s="781"/>
      <c r="Z46" s="759"/>
      <c r="AA46" s="759"/>
      <c r="AB46" s="759"/>
      <c r="AC46" s="759"/>
    </row>
    <row r="47" spans="1:29" ht="15" thickBot="1">
      <c r="A47" s="486" t="s">
        <v>2572</v>
      </c>
      <c r="B47" s="683"/>
      <c r="C47" s="490">
        <f>R48</f>
        <v>1616</v>
      </c>
      <c r="D47" s="489"/>
      <c r="E47" s="490">
        <f>R47</f>
        <v>1901</v>
      </c>
      <c r="F47" s="491"/>
      <c r="G47" s="488">
        <f>T47</f>
        <v>1526</v>
      </c>
      <c r="H47" s="489"/>
      <c r="I47" s="490">
        <f>V47</f>
        <v>1420</v>
      </c>
      <c r="J47" s="489"/>
      <c r="K47" s="784"/>
      <c r="L47" s="1143"/>
      <c r="M47" s="1144"/>
      <c r="N47" s="1144"/>
      <c r="O47" s="1144"/>
      <c r="P47" s="3489" t="str">
        <f>A47</f>
        <v>比较价值（元/平方米）</v>
      </c>
      <c r="Q47" s="3489"/>
      <c r="R47" s="3508">
        <f>ROUND(PRODUCT(R46,AA7:AA45),0)</f>
        <v>1901</v>
      </c>
      <c r="S47" s="3508"/>
      <c r="T47" s="3508">
        <f>ROUND(PRODUCT(T46,AB7:AB45),0)</f>
        <v>1526</v>
      </c>
      <c r="U47" s="3508"/>
      <c r="V47" s="3508">
        <f>ROUND(PRODUCT(V46,AC7:AC45),0)</f>
        <v>1420</v>
      </c>
      <c r="W47" s="3508"/>
      <c r="X47" s="759"/>
      <c r="Y47" s="759"/>
      <c r="Z47" s="759"/>
      <c r="AA47" s="759"/>
      <c r="AB47" s="759"/>
      <c r="AC47" s="759"/>
    </row>
    <row r="48" spans="1:29" ht="15" thickBot="1">
      <c r="A48" s="492" t="s">
        <v>2751</v>
      </c>
      <c r="B48" s="493"/>
      <c r="C48" s="494">
        <f>R48</f>
        <v>1616</v>
      </c>
      <c r="D48" s="494"/>
      <c r="E48" s="494"/>
      <c r="F48" s="494"/>
      <c r="G48" s="494"/>
      <c r="H48" s="494"/>
      <c r="I48" s="494"/>
      <c r="J48" s="494"/>
      <c r="K48" s="785"/>
      <c r="L48" s="1143"/>
      <c r="M48" s="1144"/>
      <c r="N48" s="1144"/>
      <c r="O48" s="1144"/>
      <c r="P48" s="3509" t="str">
        <f>A48</f>
        <v>估价对象XX用房的比较价值（楼面单价，元/平方米）</v>
      </c>
      <c r="Q48" s="3510"/>
      <c r="R48" s="3511">
        <f>ROUND(AVERAGE(R47:V47),0)</f>
        <v>1616</v>
      </c>
      <c r="S48" s="3511"/>
      <c r="T48" s="3511"/>
      <c r="U48" s="3511"/>
      <c r="V48" s="3511"/>
      <c r="W48" s="351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2574</v>
      </c>
      <c r="D51" s="498"/>
      <c r="E51" s="499">
        <f>IF(E46&lt;E47,E47/E46-1,E46/E47-1)</f>
        <v>0.21041557075223571</v>
      </c>
      <c r="F51" s="500" t="str">
        <f>IF(OR(E51&gt;=0.3,E51&lt;=-0.3),"超过30%","")</f>
        <v/>
      </c>
      <c r="G51" s="499">
        <f>IF(G46&lt;G47,G47/G46-1,G46/G47-1)</f>
        <v>0.17955439056356481</v>
      </c>
      <c r="H51" s="500" t="str">
        <f>IF(OR(G51&gt;=0.3,G51&lt;=-0.3),"超过30%","")</f>
        <v/>
      </c>
      <c r="I51" s="499">
        <f>IF(I46&lt;I47,I47/I46-1,I46/I47-1)</f>
        <v>0.16126760563380271</v>
      </c>
      <c r="J51" s="500" t="str">
        <f>IF(OR(I51&gt;=0.3,I51&lt;=-0.3),"超过30%","")</f>
        <v/>
      </c>
      <c r="K51" s="1105"/>
      <c r="L51" s="1106"/>
      <c r="M51" s="1144"/>
      <c r="N51" s="1144"/>
      <c r="O51" s="1144"/>
    </row>
    <row r="52" spans="1:15" ht="13.5" customHeight="1">
      <c r="A52" s="1144"/>
      <c r="B52" s="1144"/>
      <c r="C52" s="497" t="s">
        <v>2575</v>
      </c>
      <c r="D52" s="501"/>
      <c r="E52" s="499">
        <f>IF(E47&lt;G47,G47/E47-1,E47/G47-1)</f>
        <v>0.24574049803407605</v>
      </c>
      <c r="F52" s="500" t="str">
        <f>IF(OR(E52&gt;=0.2,E52&lt;=-0.2),"超过20%","")</f>
        <v>超过20%</v>
      </c>
      <c r="G52" s="499">
        <f>IF(G47&lt;I47,I47/G47-1,G47/I47-1)</f>
        <v>7.4647887323943563E-2</v>
      </c>
      <c r="H52" s="500" t="str">
        <f>IF(OR(G52&gt;=0.2,G52&lt;=-0.2),"超过20%","")</f>
        <v/>
      </c>
      <c r="I52" s="499">
        <f>IF(I47&lt;E47,E47/I47-1,I47/E47-1)</f>
        <v>0.33873239436619729</v>
      </c>
      <c r="J52" s="500" t="str">
        <f>IF(OR(I52&gt;=0.2,I52&lt;=-0.2),"超过20%","")</f>
        <v>超过20%</v>
      </c>
      <c r="K52" s="1105"/>
      <c r="L52" s="1106"/>
      <c r="M52" s="1144"/>
      <c r="N52" s="1144"/>
      <c r="O52" s="1144"/>
    </row>
    <row r="53" spans="1:15" s="502" customFormat="1" ht="13.5" customHeight="1">
      <c r="A53" s="1145"/>
      <c r="B53" s="1145"/>
      <c r="C53" s="497" t="s">
        <v>2576</v>
      </c>
      <c r="D53" s="501"/>
      <c r="E53" s="499">
        <f>IF(E46&lt;G46,G46/E46-1,E46/G46-1)</f>
        <v>0.27833333333333332</v>
      </c>
      <c r="F53" s="500" t="str">
        <f>IF(OR(E53&gt;=0.3,E53&lt;=-0.3),"超过30%","")</f>
        <v/>
      </c>
      <c r="G53" s="499">
        <f>IF(G46&lt;I46,I46/G46-1,G46/I46-1)</f>
        <v>9.1570648878107841E-2</v>
      </c>
      <c r="H53" s="500" t="str">
        <f>IF(OR(G53&gt;=0.3,G53&lt;=-0.3),"超过30%","")</f>
        <v/>
      </c>
      <c r="I53" s="499">
        <f>IF(I46&lt;E46,E46/I46-1,I46/E46-1)</f>
        <v>0.39539114614918125</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5" t="s">
        <v>2754</v>
      </c>
      <c r="D55" s="2706" t="s">
        <v>2755</v>
      </c>
      <c r="E55" s="2960" t="s">
        <v>2756</v>
      </c>
      <c r="F55" s="1107" t="s">
        <v>2757</v>
      </c>
      <c r="G55" s="3490" t="s">
        <v>2758</v>
      </c>
      <c r="H55" s="3512"/>
      <c r="I55" s="144" t="s">
        <v>2759</v>
      </c>
      <c r="J55" s="2707">
        <f>项目基本情况!F35</f>
        <v>0</v>
      </c>
      <c r="K55" s="2708" t="s">
        <v>2760</v>
      </c>
      <c r="L55" s="1106"/>
      <c r="M55" s="1144"/>
      <c r="N55" s="1144"/>
      <c r="O55" s="1144"/>
    </row>
    <row r="56" spans="1:15" s="692" customFormat="1">
      <c r="A56" s="688" t="s">
        <v>2761</v>
      </c>
      <c r="B56" s="689">
        <f>C48</f>
        <v>1616</v>
      </c>
      <c r="C56" s="690">
        <v>1</v>
      </c>
      <c r="D56" s="1163">
        <v>1</v>
      </c>
      <c r="E56" s="690">
        <f>'数据-汇总表'!E8+'数据-汇总表'!E9</f>
        <v>518594.9009999999</v>
      </c>
      <c r="F56" s="1103">
        <f t="shared" ref="F56:F65" si="15">ROUND(B56*E56/10000,0)</f>
        <v>83805</v>
      </c>
      <c r="G56" s="3513"/>
      <c r="H56" s="3489"/>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514"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514"/>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514"/>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514"/>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961"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465742.42000000004</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961" t="s">
        <v>2763</v>
      </c>
      <c r="H64" s="1104">
        <f>项目基本情况!B37</f>
        <v>0</v>
      </c>
      <c r="I64" s="1108">
        <f>SUMIF(修正!A45:A56,H64,修正!H45:H56)</f>
        <v>0</v>
      </c>
      <c r="J64" s="1112"/>
      <c r="K64" s="1145"/>
      <c r="L64" s="941"/>
      <c r="M64" s="941"/>
      <c r="N64" s="941"/>
      <c r="O64" s="941"/>
    </row>
    <row r="65" spans="1:17" s="692" customFormat="1" ht="15" thickBot="1">
      <c r="A65" s="693" t="s">
        <v>2774</v>
      </c>
      <c r="B65" s="262">
        <f t="shared" si="17"/>
        <v>0</v>
      </c>
      <c r="C65" s="200">
        <f t="shared" si="16"/>
        <v>0</v>
      </c>
      <c r="D65" s="1164">
        <v>0.25</v>
      </c>
      <c r="E65" s="261">
        <f>'数据-汇总表'!E15</f>
        <v>0</v>
      </c>
      <c r="F65" s="1103">
        <f t="shared" si="15"/>
        <v>0</v>
      </c>
      <c r="G65" s="2710" t="s">
        <v>2768</v>
      </c>
      <c r="H65" s="1114">
        <f>项目基本情况!C37</f>
        <v>0</v>
      </c>
      <c r="I65" s="1110">
        <f>SUMIF(修正!A45:A56,H65,修正!H45:H56)</f>
        <v>0</v>
      </c>
      <c r="J65" s="1113"/>
      <c r="K65" s="1144"/>
      <c r="L65" s="941"/>
      <c r="M65" s="941"/>
      <c r="N65" s="941"/>
      <c r="O65" s="941"/>
    </row>
    <row r="66" spans="1:17" s="692" customFormat="1" ht="15" thickBot="1">
      <c r="A66" s="695" t="s">
        <v>2775</v>
      </c>
      <c r="B66" s="696" t="s">
        <v>24</v>
      </c>
      <c r="C66" s="696" t="s">
        <v>24</v>
      </c>
      <c r="D66" s="696" t="s">
        <v>1025</v>
      </c>
      <c r="E66" s="696">
        <f>IF(B46="楼面地价",SUM(E56:E65),'数据-汇总表'!D3)</f>
        <v>984337.321</v>
      </c>
      <c r="F66" s="697">
        <f>IF(B46="楼面地价",SUM(F56:F65),ROUND(C48*E66/10000,0))</f>
        <v>83805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 thickBot="1">
      <c r="A69" s="763" t="s">
        <v>2577</v>
      </c>
      <c r="B69" s="759"/>
      <c r="C69" s="764"/>
      <c r="D69" s="764"/>
      <c r="E69" s="764"/>
      <c r="F69" s="765"/>
      <c r="G69" s="765"/>
      <c r="H69" s="764"/>
      <c r="I69" s="764"/>
      <c r="J69" s="1159"/>
      <c r="K69" s="1160"/>
      <c r="L69" s="1161"/>
      <c r="M69" s="1159"/>
      <c r="N69" s="1159"/>
      <c r="O69" s="1159"/>
      <c r="P69" s="503"/>
      <c r="Q69" s="504"/>
    </row>
    <row r="70" spans="1:17" s="508" customFormat="1" ht="15">
      <c r="A70" s="2711" t="s">
        <v>2776</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2" t="s">
        <v>2777</v>
      </c>
      <c r="B71" s="332" t="str">
        <f>"北京市平均增长率"&amp;TEXT(SUMIF(基准地价修正!N21:N25,A71,基准地价修正!P21:P25),"0.00%")</f>
        <v>北京市平均增长率2.08%</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2581</v>
      </c>
      <c r="D73" s="523"/>
      <c r="E73" s="523"/>
      <c r="F73" s="523"/>
      <c r="G73" s="523"/>
      <c r="H73" s="523"/>
      <c r="I73" s="523"/>
      <c r="J73" s="523"/>
      <c r="K73" s="523"/>
      <c r="L73" s="524"/>
      <c r="M73" s="525"/>
      <c r="N73" s="1151"/>
      <c r="O73" s="1151"/>
      <c r="P73" s="526"/>
      <c r="Q73" s="504"/>
    </row>
    <row r="74" spans="1:17" s="117" customFormat="1" ht="15" thickBot="1">
      <c r="A74" s="521"/>
      <c r="B74" s="510"/>
      <c r="C74" s="639">
        <v>100</v>
      </c>
      <c r="D74" s="512"/>
      <c r="E74" s="512"/>
      <c r="F74" s="512"/>
      <c r="G74" s="512"/>
      <c r="H74" s="512"/>
      <c r="I74" s="512"/>
      <c r="J74" s="512"/>
      <c r="K74" s="512"/>
      <c r="L74" s="512"/>
      <c r="M74" s="514"/>
      <c r="N74" s="1151"/>
      <c r="O74" s="1151"/>
      <c r="P74" s="504"/>
      <c r="Q74" s="504"/>
    </row>
    <row r="75" spans="1:17" ht="15">
      <c r="A75" s="527" t="s">
        <v>2582</v>
      </c>
      <c r="B75" s="528" t="s">
        <v>2548</v>
      </c>
      <c r="C75" s="530"/>
      <c r="D75" s="530"/>
      <c r="E75" s="530"/>
      <c r="F75" s="530"/>
      <c r="G75" s="530"/>
      <c r="H75" s="530"/>
      <c r="I75" s="530"/>
      <c r="J75" s="530"/>
      <c r="K75" s="531"/>
      <c r="L75" s="532"/>
      <c r="M75" s="533"/>
      <c r="N75" s="1152"/>
      <c r="O75" s="1152"/>
      <c r="P75" s="45"/>
      <c r="Q75" s="504"/>
    </row>
    <row r="76" spans="1:17" ht="15" thickBot="1">
      <c r="A76" s="534"/>
      <c r="B76" s="535"/>
      <c r="C76" s="536"/>
      <c r="D76" s="536"/>
      <c r="E76" s="536"/>
      <c r="F76" s="536"/>
      <c r="G76" s="536"/>
      <c r="H76" s="536"/>
      <c r="I76" s="536"/>
      <c r="J76" s="536"/>
      <c r="K76" s="536"/>
      <c r="L76" s="536"/>
      <c r="M76" s="537"/>
      <c r="N76" s="1153"/>
      <c r="O76" s="1153"/>
      <c r="P76" s="45"/>
      <c r="Q76" s="504"/>
    </row>
    <row r="77" spans="1:17" ht="31" thickTop="1">
      <c r="A77" s="534"/>
      <c r="B77" s="538" t="s">
        <v>2551</v>
      </c>
      <c r="C77" s="539"/>
      <c r="D77" s="539"/>
      <c r="E77" s="539"/>
      <c r="F77" s="539"/>
      <c r="G77" s="539"/>
      <c r="H77" s="539"/>
      <c r="I77" s="539"/>
      <c r="J77" s="539"/>
      <c r="K77" s="540"/>
      <c r="L77" s="541"/>
      <c r="M77" s="542"/>
      <c r="N77" s="1152"/>
      <c r="O77" s="1152"/>
      <c r="P77" s="45"/>
      <c r="Q77" s="504"/>
    </row>
    <row r="78" spans="1:17" ht="15" thickBot="1">
      <c r="A78" s="534"/>
      <c r="B78" s="543"/>
      <c r="C78" s="544"/>
      <c r="D78" s="544"/>
      <c r="E78" s="544"/>
      <c r="F78" s="544"/>
      <c r="G78" s="544"/>
      <c r="H78" s="544"/>
      <c r="I78" s="544"/>
      <c r="J78" s="544"/>
      <c r="K78" s="544"/>
      <c r="L78" s="544"/>
      <c r="M78" s="545"/>
      <c r="N78" s="1153"/>
      <c r="O78" s="1153"/>
      <c r="P78" s="45"/>
      <c r="Q78" s="504"/>
    </row>
    <row r="79" spans="1:17" ht="16" thickTop="1">
      <c r="A79" s="534"/>
      <c r="B79" s="546" t="s">
        <v>2552</v>
      </c>
      <c r="C79" s="547" t="str">
        <f>C80&amp;"（含）"&amp;"-"&amp;D80</f>
        <v>0（含）-</v>
      </c>
      <c r="D79" s="547" t="str">
        <f t="shared" ref="D79:L79" si="21">D80&amp;"（含）"&amp;"-"&amp;E80</f>
        <v>（含）-</v>
      </c>
      <c r="E79" s="547" t="str">
        <f t="shared" si="21"/>
        <v>（含）-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c r="E80" s="549"/>
      <c r="F80" s="549"/>
      <c r="G80" s="549"/>
      <c r="H80" s="549"/>
      <c r="I80" s="549"/>
      <c r="J80" s="549"/>
      <c r="K80" s="550"/>
      <c r="L80" s="551"/>
      <c r="M80" s="552"/>
      <c r="N80" s="1152"/>
      <c r="O80" s="1152"/>
      <c r="P80" s="45"/>
      <c r="Q80" s="504"/>
    </row>
    <row r="81" spans="1:17" ht="1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6"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 thickBot="1">
      <c r="A83" s="553"/>
      <c r="B83" s="543"/>
      <c r="C83" s="560"/>
      <c r="D83" s="536"/>
      <c r="E83" s="536"/>
      <c r="F83" s="536"/>
      <c r="G83" s="536"/>
      <c r="H83" s="536"/>
      <c r="I83" s="536"/>
      <c r="J83" s="536"/>
      <c r="K83" s="536"/>
      <c r="L83" s="536"/>
      <c r="M83" s="537"/>
      <c r="N83" s="1153"/>
      <c r="O83" s="1153"/>
      <c r="P83" s="558"/>
      <c r="Q83" s="559"/>
    </row>
    <row r="84" spans="1:17" s="471" customFormat="1" ht="16" thickTop="1">
      <c r="A84" s="553"/>
      <c r="B84" s="538" t="str">
        <f>B13</f>
        <v>限价</v>
      </c>
      <c r="C84" s="554" t="s">
        <v>3434</v>
      </c>
      <c r="D84" s="554" t="s">
        <v>3435</v>
      </c>
      <c r="E84" s="554"/>
      <c r="F84" s="554"/>
      <c r="G84" s="554"/>
      <c r="H84" s="555"/>
      <c r="I84" s="555"/>
      <c r="J84" s="555"/>
      <c r="K84" s="555"/>
      <c r="L84" s="556"/>
      <c r="M84" s="557"/>
      <c r="N84" s="1154"/>
      <c r="O84" s="1154"/>
      <c r="P84" s="470"/>
      <c r="Q84" s="561"/>
    </row>
    <row r="85" spans="1:17" s="471" customFormat="1" ht="15" thickBot="1">
      <c r="A85" s="553"/>
      <c r="B85" s="543"/>
      <c r="C85" s="560">
        <v>100</v>
      </c>
      <c r="D85" s="560"/>
      <c r="E85" s="560"/>
      <c r="F85" s="560"/>
      <c r="G85" s="560"/>
      <c r="H85" s="562"/>
      <c r="I85" s="562"/>
      <c r="J85" s="562"/>
      <c r="K85" s="562"/>
      <c r="L85" s="562"/>
      <c r="M85" s="563"/>
      <c r="N85" s="1154"/>
      <c r="O85" s="1154"/>
      <c r="P85" s="558"/>
      <c r="Q85" s="559"/>
    </row>
    <row r="86" spans="1:17" s="471" customFormat="1" ht="15" thickTop="1">
      <c r="A86" s="553"/>
      <c r="B86" s="546">
        <f>B14</f>
        <v>0</v>
      </c>
      <c r="C86" s="523"/>
      <c r="D86" s="523"/>
      <c r="E86" s="523"/>
      <c r="F86" s="523"/>
      <c r="G86" s="523"/>
      <c r="H86" s="564"/>
      <c r="I86" s="564"/>
      <c r="J86" s="564"/>
      <c r="K86" s="564"/>
      <c r="L86" s="565"/>
      <c r="M86" s="566"/>
      <c r="N86" s="1154"/>
      <c r="O86" s="1154"/>
      <c r="P86" s="567"/>
      <c r="Q86" s="559"/>
    </row>
    <row r="87" spans="1:17" s="471" customFormat="1" ht="15" thickBot="1">
      <c r="A87" s="568"/>
      <c r="B87" s="569"/>
      <c r="C87" s="570"/>
      <c r="D87" s="570"/>
      <c r="E87" s="570"/>
      <c r="F87" s="570"/>
      <c r="G87" s="570"/>
      <c r="H87" s="571"/>
      <c r="I87" s="571"/>
      <c r="J87" s="571"/>
      <c r="K87" s="571"/>
      <c r="L87" s="571"/>
      <c r="M87" s="572"/>
      <c r="N87" s="1154"/>
      <c r="O87" s="1154"/>
      <c r="P87" s="558"/>
      <c r="Q87" s="559"/>
    </row>
    <row r="88" spans="1:17" ht="15">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 thickBot="1">
      <c r="A89" s="534"/>
      <c r="B89" s="543"/>
      <c r="C89" s="544">
        <v>100</v>
      </c>
      <c r="D89" s="544">
        <f>C89-$K15</f>
        <v>95</v>
      </c>
      <c r="E89" s="544">
        <f>D89-$K15</f>
        <v>90</v>
      </c>
      <c r="F89" s="544">
        <f>E89-$K15</f>
        <v>85</v>
      </c>
      <c r="G89" s="544">
        <f>F89-$K15</f>
        <v>80</v>
      </c>
      <c r="H89" s="544"/>
      <c r="I89" s="544"/>
      <c r="J89" s="544"/>
      <c r="K89" s="544"/>
      <c r="L89" s="544"/>
      <c r="M89" s="545"/>
      <c r="N89" s="1153"/>
      <c r="O89" s="1153"/>
      <c r="P89" s="45"/>
      <c r="Q89" s="504"/>
    </row>
    <row r="90" spans="1:17" ht="16"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6"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6"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6"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31"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6"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6"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6"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31" thickTop="1">
      <c r="A106" s="534"/>
      <c r="B106" s="538" t="s">
        <v>2685</v>
      </c>
      <c r="C106" s="554"/>
      <c r="D106" s="554"/>
      <c r="E106" s="554"/>
      <c r="F106" s="554"/>
      <c r="G106" s="554"/>
      <c r="H106" s="583"/>
      <c r="I106" s="583"/>
      <c r="J106" s="583"/>
      <c r="K106" s="584"/>
      <c r="L106" s="585"/>
      <c r="M106" s="586"/>
      <c r="N106" s="1152"/>
      <c r="O106" s="1152"/>
      <c r="P106" s="45"/>
      <c r="Q106" s="504"/>
    </row>
    <row r="107" spans="1:17" ht="1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6" thickTop="1">
      <c r="A108" s="534"/>
      <c r="B108" s="538" t="s">
        <v>2744</v>
      </c>
      <c r="C108" s="583"/>
      <c r="D108" s="583"/>
      <c r="E108" s="583"/>
      <c r="F108" s="583"/>
      <c r="G108" s="583"/>
      <c r="H108" s="583"/>
      <c r="I108" s="583"/>
      <c r="J108" s="583"/>
      <c r="K108" s="584"/>
      <c r="L108" s="585"/>
      <c r="M108" s="586"/>
      <c r="N108" s="1152"/>
      <c r="O108" s="1152"/>
      <c r="P108" s="45"/>
      <c r="Q108" s="504"/>
    </row>
    <row r="109" spans="1:17" ht="1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 thickTop="1">
      <c r="A110" s="534"/>
      <c r="B110" s="546">
        <f>B35</f>
        <v>0</v>
      </c>
      <c r="C110" s="554"/>
      <c r="D110" s="554"/>
      <c r="E110" s="554"/>
      <c r="F110" s="554"/>
      <c r="G110" s="587"/>
      <c r="H110" s="587"/>
      <c r="I110" s="587"/>
      <c r="J110" s="587"/>
      <c r="K110" s="588"/>
      <c r="L110" s="589"/>
      <c r="M110" s="590"/>
      <c r="N110" s="1152"/>
      <c r="O110" s="1152"/>
      <c r="P110" s="45"/>
      <c r="Q110" s="504"/>
    </row>
    <row r="111" spans="1:17" ht="1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 thickBot="1">
      <c r="A115" s="553"/>
      <c r="B115" s="546"/>
      <c r="C115" s="512"/>
      <c r="D115" s="677"/>
      <c r="E115" s="677"/>
      <c r="F115" s="677"/>
      <c r="G115" s="677"/>
      <c r="H115" s="677"/>
      <c r="I115" s="677"/>
      <c r="J115" s="677"/>
      <c r="K115" s="677"/>
      <c r="L115" s="677"/>
      <c r="M115" s="699"/>
      <c r="N115" s="1153"/>
      <c r="O115" s="1153"/>
      <c r="P115" s="558"/>
      <c r="Q115" s="559"/>
    </row>
    <row r="116" spans="1:17" ht="15">
      <c r="A116" s="527" t="s">
        <v>2557</v>
      </c>
      <c r="B116" s="528" t="s">
        <v>2785</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c r="E117" s="595"/>
      <c r="F117" s="595"/>
      <c r="G117" s="595"/>
      <c r="H117" s="595"/>
      <c r="I117" s="595"/>
      <c r="J117" s="596"/>
      <c r="K117" s="596"/>
      <c r="L117" s="597"/>
      <c r="M117" s="598"/>
      <c r="N117" s="1152"/>
      <c r="O117" s="1152"/>
      <c r="P117" s="45"/>
      <c r="Q117" s="504"/>
    </row>
    <row r="118" spans="1:17" ht="15" thickBot="1">
      <c r="A118" s="534"/>
      <c r="B118" s="543"/>
      <c r="C118" s="570"/>
      <c r="D118" s="591"/>
      <c r="E118" s="591"/>
      <c r="F118" s="591"/>
      <c r="G118" s="591"/>
      <c r="H118" s="591"/>
      <c r="I118" s="591"/>
      <c r="J118" s="591"/>
      <c r="K118" s="591"/>
      <c r="L118" s="591"/>
      <c r="M118" s="592"/>
      <c r="N118" s="1153"/>
      <c r="O118" s="1153"/>
      <c r="P118" s="45"/>
      <c r="Q118" s="504"/>
    </row>
    <row r="119" spans="1:17" ht="16" thickTop="1">
      <c r="A119" s="599"/>
      <c r="B119" s="538" t="s">
        <v>2786</v>
      </c>
      <c r="C119" s="583" t="s">
        <v>3429</v>
      </c>
      <c r="D119" s="583" t="s">
        <v>3431</v>
      </c>
      <c r="E119" s="583"/>
      <c r="F119" s="583"/>
      <c r="G119" s="583"/>
      <c r="H119" s="583"/>
      <c r="I119" s="583"/>
      <c r="J119" s="583"/>
      <c r="K119" s="584"/>
      <c r="L119" s="585"/>
      <c r="M119" s="586"/>
      <c r="N119" s="1152"/>
      <c r="O119" s="1152"/>
      <c r="P119" s="45"/>
      <c r="Q119" s="504"/>
    </row>
    <row r="120" spans="1:17" ht="15" thickBot="1">
      <c r="A120" s="534"/>
      <c r="B120" s="543"/>
      <c r="C120" s="544">
        <v>100</v>
      </c>
      <c r="D120" s="544">
        <f t="shared" ref="D120:M120" si="27">C120-$K39</f>
        <v>95</v>
      </c>
      <c r="E120" s="544">
        <f t="shared" si="27"/>
        <v>90</v>
      </c>
      <c r="F120" s="544">
        <f t="shared" si="27"/>
        <v>85</v>
      </c>
      <c r="G120" s="544">
        <f t="shared" si="27"/>
        <v>80</v>
      </c>
      <c r="H120" s="544">
        <f t="shared" si="27"/>
        <v>75</v>
      </c>
      <c r="I120" s="544">
        <f t="shared" si="27"/>
        <v>70</v>
      </c>
      <c r="J120" s="544">
        <f t="shared" si="27"/>
        <v>65</v>
      </c>
      <c r="K120" s="544">
        <f t="shared" si="27"/>
        <v>60</v>
      </c>
      <c r="L120" s="544">
        <f t="shared" si="27"/>
        <v>55</v>
      </c>
      <c r="M120" s="545">
        <f t="shared" si="27"/>
        <v>50</v>
      </c>
      <c r="N120" s="1153"/>
      <c r="O120" s="1153"/>
      <c r="P120" s="45"/>
      <c r="Q120" s="504"/>
    </row>
    <row r="121" spans="1:17" ht="16" thickTop="1">
      <c r="A121" s="599"/>
      <c r="B121" s="538" t="s">
        <v>2787</v>
      </c>
      <c r="C121" s="554"/>
      <c r="D121" s="554"/>
      <c r="E121" s="554"/>
      <c r="F121" s="583"/>
      <c r="G121" s="583"/>
      <c r="H121" s="583"/>
      <c r="I121" s="583"/>
      <c r="J121" s="583"/>
      <c r="K121" s="584"/>
      <c r="L121" s="585"/>
      <c r="M121" s="586"/>
      <c r="N121" s="1152"/>
      <c r="O121" s="1152"/>
      <c r="P121" s="45"/>
      <c r="Q121" s="504"/>
    </row>
    <row r="122" spans="1:17" ht="1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6"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6" thickTop="1">
      <c r="A125" s="599"/>
      <c r="B125" s="538" t="s">
        <v>2789</v>
      </c>
      <c r="C125" s="554"/>
      <c r="D125" s="554"/>
      <c r="E125" s="583"/>
      <c r="F125" s="583"/>
      <c r="G125" s="583"/>
      <c r="H125" s="583"/>
      <c r="I125" s="583"/>
      <c r="J125" s="583"/>
      <c r="K125" s="584"/>
      <c r="L125" s="585"/>
      <c r="M125" s="586"/>
      <c r="N125" s="1152"/>
      <c r="O125" s="1152"/>
      <c r="P125" s="45"/>
      <c r="Q125" s="504"/>
    </row>
    <row r="126" spans="1:17" ht="1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A71" xr:uid="{00000000-0002-0000-1E00-000000000000}">
      <formula1>"综合,商业,办公,住宅"</formula1>
    </dataValidation>
    <dataValidation type="list" allowBlank="1" showInputMessage="1" showErrorMessage="1" sqref="C30 E30 G30 I30" xr:uid="{00000000-0002-0000-1E00-000001000000}">
      <formula1>基础设施水平</formula1>
    </dataValidation>
    <dataValidation type="list" allowBlank="1" showInputMessage="1" showErrorMessage="1" sqref="D57:D65" xr:uid="{00000000-0002-0000-1E00-000002000000}">
      <formula1>"25%,1"</formula1>
    </dataValidation>
    <dataValidation type="list" allowBlank="1" showInputMessage="1" showErrorMessage="1" sqref="G63" xr:uid="{00000000-0002-0000-1E00-000003000000}">
      <formula1>"住宅,工业"</formula1>
    </dataValidation>
    <dataValidation type="list" allowBlank="1" showInputMessage="1" showErrorMessage="1" sqref="G62" xr:uid="{00000000-0002-0000-1E00-000004000000}">
      <formula1>"商业,办公,住宅,工业"</formula1>
    </dataValidation>
    <dataValidation type="list" allowBlank="1" showInputMessage="1" showErrorMessage="1" sqref="C55" xr:uid="{00000000-0002-0000-1E00-000005000000}">
      <formula1>"北京市系数,其他省市系数"</formula1>
    </dataValidation>
    <dataValidation type="list" allowBlank="1" showInputMessage="1" showErrorMessage="1" sqref="E24 G24 I24 C24" xr:uid="{00000000-0002-0000-1E00-000006000000}">
      <formula1>区域土地利用方向</formula1>
    </dataValidation>
    <dataValidation type="list" allowBlank="1" showInputMessage="1" showErrorMessage="1" sqref="C31 E31 G31 I31" xr:uid="{00000000-0002-0000-1E00-000007000000}">
      <formula1>临街状况</formula1>
    </dataValidation>
    <dataValidation type="list" allowBlank="1" showInputMessage="1" showErrorMessage="1" sqref="C42 E42 G42 I42" xr:uid="{00000000-0002-0000-1E00-000008000000}">
      <formula1>套综工程地质条件</formula1>
    </dataValidation>
    <dataValidation type="list" allowBlank="1" showInputMessage="1" showErrorMessage="1" sqref="C41 E41 G41 I41" xr:uid="{00000000-0002-0000-1E00-000009000000}">
      <formula1>套综宗地内开发程度</formula1>
    </dataValidation>
    <dataValidation type="list" allowBlank="1" showInputMessage="1" showErrorMessage="1" sqref="C40 E40 G40 I40" xr:uid="{00000000-0002-0000-1E00-00000A000000}">
      <formula1>套综临街宽度及深度</formula1>
    </dataValidation>
    <dataValidation type="list" allowBlank="1" showInputMessage="1" showErrorMessage="1" sqref="C39 E39 G39 I39" xr:uid="{00000000-0002-0000-1E00-00000B000000}">
      <formula1>套综宗地形状</formula1>
    </dataValidation>
    <dataValidation type="list" allowBlank="1" showInputMessage="1" showErrorMessage="1" sqref="C34 E34 G34 I34" xr:uid="{00000000-0002-0000-1E00-00000C000000}">
      <formula1>套综土地级别</formula1>
    </dataValidation>
    <dataValidation type="list" allowBlank="1" showInputMessage="1" showErrorMessage="1" sqref="C33 E33 G33 I33" xr:uid="{00000000-0002-0000-1E00-00000D000000}">
      <formula1>套综道路等级</formula1>
    </dataValidation>
    <dataValidation type="list" allowBlank="1" showInputMessage="1" showErrorMessage="1" sqref="E20 C20 G20 I20" xr:uid="{00000000-0002-0000-1E00-00000E000000}">
      <formula1>办公集聚程度</formula1>
    </dataValidation>
    <dataValidation type="list" allowBlank="1" showInputMessage="1" showErrorMessage="1" sqref="E18 C18 G18 I18" xr:uid="{00000000-0002-0000-1E00-00000F000000}">
      <formula1>商业繁华度</formula1>
    </dataValidation>
    <dataValidation type="list" allowBlank="1" showInputMessage="1" showErrorMessage="1" sqref="C9 E9 G9 I9" xr:uid="{00000000-0002-0000-1E00-000010000000}">
      <formula1>套综用途</formula1>
    </dataValidation>
    <dataValidation type="list" allowBlank="1" showInputMessage="1" showErrorMessage="1" sqref="C8 E8 G8 I8" xr:uid="{00000000-0002-0000-1E00-000011000000}">
      <formula1>套综交易情况</formula1>
    </dataValidation>
    <dataValidation type="list" allowBlank="1" showInputMessage="1" showErrorMessage="1" sqref="B46" xr:uid="{00000000-0002-0000-1E00-000012000000}">
      <formula1>单价内涵</formula1>
    </dataValidation>
    <dataValidation type="list" allowBlank="1" showInputMessage="1" showErrorMessage="1" sqref="C26 E26 G26 I26" xr:uid="{00000000-0002-0000-1E00-000013000000}">
      <formula1>环境</formula1>
    </dataValidation>
    <dataValidation type="list" allowBlank="1" showInputMessage="1" showErrorMessage="1" sqref="E16 G16 I16 C16" xr:uid="{00000000-0002-0000-1E00-000014000000}">
      <formula1>居住社区成熟度</formula1>
    </dataValidation>
    <dataValidation type="list" allowBlank="1" showInputMessage="1" showErrorMessage="1" sqref="E22 C22 G22 I22" xr:uid="{00000000-0002-0000-1E00-000015000000}">
      <formula1>交通便捷度</formula1>
    </dataValidation>
    <dataValidation type="list" allowBlank="1" showInputMessage="1" showErrorMessage="1" sqref="E28 C28 G28 I28" xr:uid="{00000000-0002-0000-1E00-000016000000}">
      <formula1>公共配套设施</formula1>
    </dataValidation>
    <dataValidation type="list" allowBlank="1" showInputMessage="1" showErrorMessage="1" sqref="C25" xr:uid="{00000000-0002-0000-1E00-000017000000}">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G32"/>
  <sheetViews>
    <sheetView topLeftCell="L1" zoomScale="140" zoomScaleNormal="140" workbookViewId="0">
      <selection activeCell="I55" sqref="I55"/>
    </sheetView>
  </sheetViews>
  <sheetFormatPr baseColWidth="10" defaultColWidth="11" defaultRowHeight="14"/>
  <cols>
    <col min="1" max="1" width="67.1640625" style="1634" customWidth="1"/>
    <col min="2" max="2" width="7.1640625" style="1634" hidden="1" customWidth="1"/>
    <col min="3" max="3" width="13.33203125" style="1634" hidden="1" customWidth="1"/>
    <col min="4" max="4" width="5.1640625" style="1634" hidden="1" customWidth="1"/>
    <col min="5" max="5" width="61.6640625" style="1634" hidden="1" customWidth="1"/>
    <col min="6" max="6" width="9" style="1634" hidden="1" customWidth="1"/>
    <col min="7" max="7" width="11.33203125" style="1634" customWidth="1"/>
    <col min="8" max="8" width="12.83203125" style="1634" customWidth="1"/>
    <col min="9" max="10" width="15.83203125" style="1634" customWidth="1"/>
    <col min="11" max="11" width="29" style="1634" customWidth="1"/>
    <col min="12" max="12" width="17.83203125" style="1634" customWidth="1"/>
    <col min="13" max="13" width="85.1640625" style="1634" hidden="1" customWidth="1"/>
    <col min="14" max="14" width="29.83203125" style="1634" customWidth="1"/>
    <col min="15" max="15" width="12.1640625" style="1634" customWidth="1"/>
    <col min="16" max="16" width="18.1640625" style="1634" customWidth="1"/>
    <col min="17" max="17" width="16.33203125" style="1634" customWidth="1"/>
    <col min="18" max="18" width="7.1640625" style="1634" customWidth="1"/>
    <col min="19" max="20" width="9" style="1634" customWidth="1"/>
    <col min="21" max="256" width="8.83203125" style="1634" customWidth="1"/>
    <col min="257" max="257" width="61.6640625" style="1634" customWidth="1"/>
    <col min="258" max="258" width="7.1640625" style="1634" customWidth="1"/>
    <col min="259" max="259" width="13.33203125" style="1634" customWidth="1"/>
    <col min="260" max="260" width="5.1640625" style="1634" customWidth="1"/>
    <col min="261" max="261" width="61.6640625" style="1634" customWidth="1"/>
    <col min="262" max="262" width="9" style="1634" customWidth="1"/>
    <col min="263" max="263" width="11.33203125" style="1634" customWidth="1"/>
    <col min="264" max="264" width="12.83203125" style="1634" customWidth="1"/>
    <col min="265" max="266" width="15.83203125" style="1634" customWidth="1"/>
    <col min="267" max="267" width="29" style="1634" customWidth="1"/>
    <col min="268" max="268" width="10.1640625" style="1634" customWidth="1"/>
    <col min="269" max="269" width="85.1640625" style="1634" customWidth="1"/>
    <col min="270" max="270" width="29.83203125" style="1634" customWidth="1"/>
    <col min="271" max="271" width="12.1640625" style="1634" customWidth="1"/>
    <col min="272" max="272" width="18.1640625" style="1634" customWidth="1"/>
    <col min="273" max="273" width="16.33203125" style="1634" customWidth="1"/>
    <col min="274" max="274" width="7.1640625" style="1634" customWidth="1"/>
    <col min="275" max="276" width="9" style="1634" customWidth="1"/>
    <col min="277" max="512" width="8.83203125" style="1634" customWidth="1"/>
    <col min="513" max="513" width="61.6640625" style="1634" customWidth="1"/>
    <col min="514" max="514" width="7.1640625" style="1634" customWidth="1"/>
    <col min="515" max="515" width="13.33203125" style="1634" customWidth="1"/>
    <col min="516" max="516" width="5.1640625" style="1634" customWidth="1"/>
    <col min="517" max="517" width="61.6640625" style="1634" customWidth="1"/>
    <col min="518" max="518" width="9" style="1634" customWidth="1"/>
    <col min="519" max="519" width="11.33203125" style="1634" customWidth="1"/>
    <col min="520" max="520" width="12.83203125" style="1634" customWidth="1"/>
    <col min="521" max="522" width="15.83203125" style="1634" customWidth="1"/>
    <col min="523" max="523" width="29" style="1634" customWidth="1"/>
    <col min="524" max="524" width="10.1640625" style="1634" customWidth="1"/>
    <col min="525" max="525" width="85.1640625" style="1634" customWidth="1"/>
    <col min="526" max="526" width="29.83203125" style="1634" customWidth="1"/>
    <col min="527" max="527" width="12.1640625" style="1634" customWidth="1"/>
    <col min="528" max="528" width="18.1640625" style="1634" customWidth="1"/>
    <col min="529" max="529" width="16.33203125" style="1634" customWidth="1"/>
    <col min="530" max="530" width="7.1640625" style="1634" customWidth="1"/>
    <col min="531" max="532" width="9" style="1634" customWidth="1"/>
    <col min="533" max="768" width="8.83203125" style="1634" customWidth="1"/>
    <col min="769" max="769" width="61.6640625" style="1634" customWidth="1"/>
    <col min="770" max="770" width="7.1640625" style="1634" customWidth="1"/>
    <col min="771" max="771" width="13.33203125" style="1634" customWidth="1"/>
    <col min="772" max="772" width="5.1640625" style="1634" customWidth="1"/>
    <col min="773" max="773" width="61.6640625" style="1634" customWidth="1"/>
    <col min="774" max="774" width="9" style="1634" customWidth="1"/>
    <col min="775" max="775" width="11.33203125" style="1634" customWidth="1"/>
    <col min="776" max="776" width="12.83203125" style="1634" customWidth="1"/>
    <col min="777" max="778" width="15.83203125" style="1634" customWidth="1"/>
    <col min="779" max="779" width="29" style="1634" customWidth="1"/>
    <col min="780" max="780" width="10.1640625" style="1634" customWidth="1"/>
    <col min="781" max="781" width="85.1640625" style="1634" customWidth="1"/>
    <col min="782" max="782" width="29.83203125" style="1634" customWidth="1"/>
    <col min="783" max="783" width="12.1640625" style="1634" customWidth="1"/>
    <col min="784" max="784" width="18.1640625" style="1634" customWidth="1"/>
    <col min="785" max="785" width="16.33203125" style="1634" customWidth="1"/>
    <col min="786" max="786" width="7.1640625" style="1634" customWidth="1"/>
    <col min="787" max="788" width="9" style="1634" customWidth="1"/>
    <col min="789" max="1024" width="8.83203125" style="1634" customWidth="1"/>
    <col min="1025" max="1025" width="61.6640625" style="1634" customWidth="1"/>
    <col min="1026" max="1026" width="7.1640625" style="1634" customWidth="1"/>
    <col min="1027" max="1027" width="13.33203125" style="1634" customWidth="1"/>
    <col min="1028" max="1028" width="5.1640625" style="1634" customWidth="1"/>
    <col min="1029" max="1029" width="61.6640625" style="1634" customWidth="1"/>
    <col min="1030" max="1030" width="9" style="1634" customWidth="1"/>
    <col min="1031" max="1031" width="11.33203125" style="1634" customWidth="1"/>
    <col min="1032" max="1032" width="12.83203125" style="1634" customWidth="1"/>
    <col min="1033" max="1034" width="15.83203125" style="1634" customWidth="1"/>
    <col min="1035" max="1035" width="29" style="1634" customWidth="1"/>
    <col min="1036" max="1036" width="10.1640625" style="1634" customWidth="1"/>
    <col min="1037" max="1037" width="85.1640625" style="1634" customWidth="1"/>
    <col min="1038" max="1038" width="29.83203125" style="1634" customWidth="1"/>
    <col min="1039" max="1039" width="12.1640625" style="1634" customWidth="1"/>
    <col min="1040" max="1040" width="18.1640625" style="1634" customWidth="1"/>
    <col min="1041" max="1041" width="16.33203125" style="1634" customWidth="1"/>
    <col min="1042" max="1042" width="7.1640625" style="1634" customWidth="1"/>
    <col min="1043" max="1044" width="9" style="1634" customWidth="1"/>
    <col min="1045" max="1280" width="8.83203125" style="1634" customWidth="1"/>
    <col min="1281" max="1281" width="61.6640625" style="1634" customWidth="1"/>
    <col min="1282" max="1282" width="7.1640625" style="1634" customWidth="1"/>
    <col min="1283" max="1283" width="13.33203125" style="1634" customWidth="1"/>
    <col min="1284" max="1284" width="5.1640625" style="1634" customWidth="1"/>
    <col min="1285" max="1285" width="61.6640625" style="1634" customWidth="1"/>
    <col min="1286" max="1286" width="9" style="1634" customWidth="1"/>
    <col min="1287" max="1287" width="11.33203125" style="1634" customWidth="1"/>
    <col min="1288" max="1288" width="12.83203125" style="1634" customWidth="1"/>
    <col min="1289" max="1290" width="15.83203125" style="1634" customWidth="1"/>
    <col min="1291" max="1291" width="29" style="1634" customWidth="1"/>
    <col min="1292" max="1292" width="10.1640625" style="1634" customWidth="1"/>
    <col min="1293" max="1293" width="85.1640625" style="1634" customWidth="1"/>
    <col min="1294" max="1294" width="29.83203125" style="1634" customWidth="1"/>
    <col min="1295" max="1295" width="12.1640625" style="1634" customWidth="1"/>
    <col min="1296" max="1296" width="18.1640625" style="1634" customWidth="1"/>
    <col min="1297" max="1297" width="16.33203125" style="1634" customWidth="1"/>
    <col min="1298" max="1298" width="7.1640625" style="1634" customWidth="1"/>
    <col min="1299" max="1300" width="9" style="1634" customWidth="1"/>
    <col min="1301" max="1536" width="8.83203125" style="1634" customWidth="1"/>
    <col min="1537" max="1537" width="61.6640625" style="1634" customWidth="1"/>
    <col min="1538" max="1538" width="7.1640625" style="1634" customWidth="1"/>
    <col min="1539" max="1539" width="13.33203125" style="1634" customWidth="1"/>
    <col min="1540" max="1540" width="5.1640625" style="1634" customWidth="1"/>
    <col min="1541" max="1541" width="61.6640625" style="1634" customWidth="1"/>
    <col min="1542" max="1542" width="9" style="1634" customWidth="1"/>
    <col min="1543" max="1543" width="11.33203125" style="1634" customWidth="1"/>
    <col min="1544" max="1544" width="12.83203125" style="1634" customWidth="1"/>
    <col min="1545" max="1546" width="15.83203125" style="1634" customWidth="1"/>
    <col min="1547" max="1547" width="29" style="1634" customWidth="1"/>
    <col min="1548" max="1548" width="10.1640625" style="1634" customWidth="1"/>
    <col min="1549" max="1549" width="85.1640625" style="1634" customWidth="1"/>
    <col min="1550" max="1550" width="29.83203125" style="1634" customWidth="1"/>
    <col min="1551" max="1551" width="12.1640625" style="1634" customWidth="1"/>
    <col min="1552" max="1552" width="18.1640625" style="1634" customWidth="1"/>
    <col min="1553" max="1553" width="16.33203125" style="1634" customWidth="1"/>
    <col min="1554" max="1554" width="7.1640625" style="1634" customWidth="1"/>
    <col min="1555" max="1556" width="9" style="1634" customWidth="1"/>
    <col min="1557" max="1792" width="8.83203125" style="1634" customWidth="1"/>
    <col min="1793" max="1793" width="61.6640625" style="1634" customWidth="1"/>
    <col min="1794" max="1794" width="7.1640625" style="1634" customWidth="1"/>
    <col min="1795" max="1795" width="13.33203125" style="1634" customWidth="1"/>
    <col min="1796" max="1796" width="5.1640625" style="1634" customWidth="1"/>
    <col min="1797" max="1797" width="61.6640625" style="1634" customWidth="1"/>
    <col min="1798" max="1798" width="9" style="1634" customWidth="1"/>
    <col min="1799" max="1799" width="11.33203125" style="1634" customWidth="1"/>
    <col min="1800" max="1800" width="12.83203125" style="1634" customWidth="1"/>
    <col min="1801" max="1802" width="15.83203125" style="1634" customWidth="1"/>
    <col min="1803" max="1803" width="29" style="1634" customWidth="1"/>
    <col min="1804" max="1804" width="10.1640625" style="1634" customWidth="1"/>
    <col min="1805" max="1805" width="85.1640625" style="1634" customWidth="1"/>
    <col min="1806" max="1806" width="29.83203125" style="1634" customWidth="1"/>
    <col min="1807" max="1807" width="12.1640625" style="1634" customWidth="1"/>
    <col min="1808" max="1808" width="18.1640625" style="1634" customWidth="1"/>
    <col min="1809" max="1809" width="16.33203125" style="1634" customWidth="1"/>
    <col min="1810" max="1810" width="7.1640625" style="1634" customWidth="1"/>
    <col min="1811" max="1812" width="9" style="1634" customWidth="1"/>
    <col min="1813" max="2048" width="8.83203125" style="1634" customWidth="1"/>
    <col min="2049" max="2049" width="61.6640625" style="1634" customWidth="1"/>
    <col min="2050" max="2050" width="7.1640625" style="1634" customWidth="1"/>
    <col min="2051" max="2051" width="13.33203125" style="1634" customWidth="1"/>
    <col min="2052" max="2052" width="5.1640625" style="1634" customWidth="1"/>
    <col min="2053" max="2053" width="61.6640625" style="1634" customWidth="1"/>
    <col min="2054" max="2054" width="9" style="1634" customWidth="1"/>
    <col min="2055" max="2055" width="11.33203125" style="1634" customWidth="1"/>
    <col min="2056" max="2056" width="12.83203125" style="1634" customWidth="1"/>
    <col min="2057" max="2058" width="15.83203125" style="1634" customWidth="1"/>
    <col min="2059" max="2059" width="29" style="1634" customWidth="1"/>
    <col min="2060" max="2060" width="10.1640625" style="1634" customWidth="1"/>
    <col min="2061" max="2061" width="85.1640625" style="1634" customWidth="1"/>
    <col min="2062" max="2062" width="29.83203125" style="1634" customWidth="1"/>
    <col min="2063" max="2063" width="12.1640625" style="1634" customWidth="1"/>
    <col min="2064" max="2064" width="18.1640625" style="1634" customWidth="1"/>
    <col min="2065" max="2065" width="16.33203125" style="1634" customWidth="1"/>
    <col min="2066" max="2066" width="7.1640625" style="1634" customWidth="1"/>
    <col min="2067" max="2068" width="9" style="1634" customWidth="1"/>
    <col min="2069" max="2304" width="8.83203125" style="1634" customWidth="1"/>
    <col min="2305" max="2305" width="61.6640625" style="1634" customWidth="1"/>
    <col min="2306" max="2306" width="7.1640625" style="1634" customWidth="1"/>
    <col min="2307" max="2307" width="13.33203125" style="1634" customWidth="1"/>
    <col min="2308" max="2308" width="5.1640625" style="1634" customWidth="1"/>
    <col min="2309" max="2309" width="61.6640625" style="1634" customWidth="1"/>
    <col min="2310" max="2310" width="9" style="1634" customWidth="1"/>
    <col min="2311" max="2311" width="11.33203125" style="1634" customWidth="1"/>
    <col min="2312" max="2312" width="12.83203125" style="1634" customWidth="1"/>
    <col min="2313" max="2314" width="15.83203125" style="1634" customWidth="1"/>
    <col min="2315" max="2315" width="29" style="1634" customWidth="1"/>
    <col min="2316" max="2316" width="10.1640625" style="1634" customWidth="1"/>
    <col min="2317" max="2317" width="85.1640625" style="1634" customWidth="1"/>
    <col min="2318" max="2318" width="29.83203125" style="1634" customWidth="1"/>
    <col min="2319" max="2319" width="12.1640625" style="1634" customWidth="1"/>
    <col min="2320" max="2320" width="18.1640625" style="1634" customWidth="1"/>
    <col min="2321" max="2321" width="16.33203125" style="1634" customWidth="1"/>
    <col min="2322" max="2322" width="7.1640625" style="1634" customWidth="1"/>
    <col min="2323" max="2324" width="9" style="1634" customWidth="1"/>
    <col min="2325" max="2560" width="8.83203125" style="1634" customWidth="1"/>
    <col min="2561" max="2561" width="61.6640625" style="1634" customWidth="1"/>
    <col min="2562" max="2562" width="7.1640625" style="1634" customWidth="1"/>
    <col min="2563" max="2563" width="13.33203125" style="1634" customWidth="1"/>
    <col min="2564" max="2564" width="5.1640625" style="1634" customWidth="1"/>
    <col min="2565" max="2565" width="61.6640625" style="1634" customWidth="1"/>
    <col min="2566" max="2566" width="9" style="1634" customWidth="1"/>
    <col min="2567" max="2567" width="11.33203125" style="1634" customWidth="1"/>
    <col min="2568" max="2568" width="12.83203125" style="1634" customWidth="1"/>
    <col min="2569" max="2570" width="15.83203125" style="1634" customWidth="1"/>
    <col min="2571" max="2571" width="29" style="1634" customWidth="1"/>
    <col min="2572" max="2572" width="10.1640625" style="1634" customWidth="1"/>
    <col min="2573" max="2573" width="85.1640625" style="1634" customWidth="1"/>
    <col min="2574" max="2574" width="29.83203125" style="1634" customWidth="1"/>
    <col min="2575" max="2575" width="12.1640625" style="1634" customWidth="1"/>
    <col min="2576" max="2576" width="18.1640625" style="1634" customWidth="1"/>
    <col min="2577" max="2577" width="16.33203125" style="1634" customWidth="1"/>
    <col min="2578" max="2578" width="7.1640625" style="1634" customWidth="1"/>
    <col min="2579" max="2580" width="9" style="1634" customWidth="1"/>
    <col min="2581" max="2816" width="8.83203125" style="1634" customWidth="1"/>
    <col min="2817" max="2817" width="61.6640625" style="1634" customWidth="1"/>
    <col min="2818" max="2818" width="7.1640625" style="1634" customWidth="1"/>
    <col min="2819" max="2819" width="13.33203125" style="1634" customWidth="1"/>
    <col min="2820" max="2820" width="5.1640625" style="1634" customWidth="1"/>
    <col min="2821" max="2821" width="61.6640625" style="1634" customWidth="1"/>
    <col min="2822" max="2822" width="9" style="1634" customWidth="1"/>
    <col min="2823" max="2823" width="11.33203125" style="1634" customWidth="1"/>
    <col min="2824" max="2824" width="12.83203125" style="1634" customWidth="1"/>
    <col min="2825" max="2826" width="15.83203125" style="1634" customWidth="1"/>
    <col min="2827" max="2827" width="29" style="1634" customWidth="1"/>
    <col min="2828" max="2828" width="10.1640625" style="1634" customWidth="1"/>
    <col min="2829" max="2829" width="85.1640625" style="1634" customWidth="1"/>
    <col min="2830" max="2830" width="29.83203125" style="1634" customWidth="1"/>
    <col min="2831" max="2831" width="12.1640625" style="1634" customWidth="1"/>
    <col min="2832" max="2832" width="18.1640625" style="1634" customWidth="1"/>
    <col min="2833" max="2833" width="16.33203125" style="1634" customWidth="1"/>
    <col min="2834" max="2834" width="7.1640625" style="1634" customWidth="1"/>
    <col min="2835" max="2836" width="9" style="1634" customWidth="1"/>
    <col min="2837" max="3072" width="8.83203125" style="1634" customWidth="1"/>
    <col min="3073" max="3073" width="61.6640625" style="1634" customWidth="1"/>
    <col min="3074" max="3074" width="7.1640625" style="1634" customWidth="1"/>
    <col min="3075" max="3075" width="13.33203125" style="1634" customWidth="1"/>
    <col min="3076" max="3076" width="5.1640625" style="1634" customWidth="1"/>
    <col min="3077" max="3077" width="61.6640625" style="1634" customWidth="1"/>
    <col min="3078" max="3078" width="9" style="1634" customWidth="1"/>
    <col min="3079" max="3079" width="11.33203125" style="1634" customWidth="1"/>
    <col min="3080" max="3080" width="12.83203125" style="1634" customWidth="1"/>
    <col min="3081" max="3082" width="15.83203125" style="1634" customWidth="1"/>
    <col min="3083" max="3083" width="29" style="1634" customWidth="1"/>
    <col min="3084" max="3084" width="10.1640625" style="1634" customWidth="1"/>
    <col min="3085" max="3085" width="85.1640625" style="1634" customWidth="1"/>
    <col min="3086" max="3086" width="29.83203125" style="1634" customWidth="1"/>
    <col min="3087" max="3087" width="12.1640625" style="1634" customWidth="1"/>
    <col min="3088" max="3088" width="18.1640625" style="1634" customWidth="1"/>
    <col min="3089" max="3089" width="16.33203125" style="1634" customWidth="1"/>
    <col min="3090" max="3090" width="7.1640625" style="1634" customWidth="1"/>
    <col min="3091" max="3092" width="9" style="1634" customWidth="1"/>
    <col min="3093" max="3328" width="8.83203125" style="1634" customWidth="1"/>
    <col min="3329" max="3329" width="61.6640625" style="1634" customWidth="1"/>
    <col min="3330" max="3330" width="7.1640625" style="1634" customWidth="1"/>
    <col min="3331" max="3331" width="13.33203125" style="1634" customWidth="1"/>
    <col min="3332" max="3332" width="5.1640625" style="1634" customWidth="1"/>
    <col min="3333" max="3333" width="61.6640625" style="1634" customWidth="1"/>
    <col min="3334" max="3334" width="9" style="1634" customWidth="1"/>
    <col min="3335" max="3335" width="11.33203125" style="1634" customWidth="1"/>
    <col min="3336" max="3336" width="12.83203125" style="1634" customWidth="1"/>
    <col min="3337" max="3338" width="15.83203125" style="1634" customWidth="1"/>
    <col min="3339" max="3339" width="29" style="1634" customWidth="1"/>
    <col min="3340" max="3340" width="10.1640625" style="1634" customWidth="1"/>
    <col min="3341" max="3341" width="85.1640625" style="1634" customWidth="1"/>
    <col min="3342" max="3342" width="29.83203125" style="1634" customWidth="1"/>
    <col min="3343" max="3343" width="12.1640625" style="1634" customWidth="1"/>
    <col min="3344" max="3344" width="18.1640625" style="1634" customWidth="1"/>
    <col min="3345" max="3345" width="16.33203125" style="1634" customWidth="1"/>
    <col min="3346" max="3346" width="7.1640625" style="1634" customWidth="1"/>
    <col min="3347" max="3348" width="9" style="1634" customWidth="1"/>
    <col min="3349" max="3584" width="8.83203125" style="1634" customWidth="1"/>
    <col min="3585" max="3585" width="61.6640625" style="1634" customWidth="1"/>
    <col min="3586" max="3586" width="7.1640625" style="1634" customWidth="1"/>
    <col min="3587" max="3587" width="13.33203125" style="1634" customWidth="1"/>
    <col min="3588" max="3588" width="5.1640625" style="1634" customWidth="1"/>
    <col min="3589" max="3589" width="61.6640625" style="1634" customWidth="1"/>
    <col min="3590" max="3590" width="9" style="1634" customWidth="1"/>
    <col min="3591" max="3591" width="11.33203125" style="1634" customWidth="1"/>
    <col min="3592" max="3592" width="12.83203125" style="1634" customWidth="1"/>
    <col min="3593" max="3594" width="15.83203125" style="1634" customWidth="1"/>
    <col min="3595" max="3595" width="29" style="1634" customWidth="1"/>
    <col min="3596" max="3596" width="10.1640625" style="1634" customWidth="1"/>
    <col min="3597" max="3597" width="85.1640625" style="1634" customWidth="1"/>
    <col min="3598" max="3598" width="29.83203125" style="1634" customWidth="1"/>
    <col min="3599" max="3599" width="12.1640625" style="1634" customWidth="1"/>
    <col min="3600" max="3600" width="18.1640625" style="1634" customWidth="1"/>
    <col min="3601" max="3601" width="16.33203125" style="1634" customWidth="1"/>
    <col min="3602" max="3602" width="7.1640625" style="1634" customWidth="1"/>
    <col min="3603" max="3604" width="9" style="1634" customWidth="1"/>
    <col min="3605" max="3840" width="8.83203125" style="1634" customWidth="1"/>
    <col min="3841" max="3841" width="61.6640625" style="1634" customWidth="1"/>
    <col min="3842" max="3842" width="7.1640625" style="1634" customWidth="1"/>
    <col min="3843" max="3843" width="13.33203125" style="1634" customWidth="1"/>
    <col min="3844" max="3844" width="5.1640625" style="1634" customWidth="1"/>
    <col min="3845" max="3845" width="61.6640625" style="1634" customWidth="1"/>
    <col min="3846" max="3846" width="9" style="1634" customWidth="1"/>
    <col min="3847" max="3847" width="11.33203125" style="1634" customWidth="1"/>
    <col min="3848" max="3848" width="12.83203125" style="1634" customWidth="1"/>
    <col min="3849" max="3850" width="15.83203125" style="1634" customWidth="1"/>
    <col min="3851" max="3851" width="29" style="1634" customWidth="1"/>
    <col min="3852" max="3852" width="10.1640625" style="1634" customWidth="1"/>
    <col min="3853" max="3853" width="85.1640625" style="1634" customWidth="1"/>
    <col min="3854" max="3854" width="29.83203125" style="1634" customWidth="1"/>
    <col min="3855" max="3855" width="12.1640625" style="1634" customWidth="1"/>
    <col min="3856" max="3856" width="18.1640625" style="1634" customWidth="1"/>
    <col min="3857" max="3857" width="16.33203125" style="1634" customWidth="1"/>
    <col min="3858" max="3858" width="7.1640625" style="1634" customWidth="1"/>
    <col min="3859" max="3860" width="9" style="1634" customWidth="1"/>
    <col min="3861" max="4096" width="8.83203125" style="1634" customWidth="1"/>
    <col min="4097" max="4097" width="61.6640625" style="1634" customWidth="1"/>
    <col min="4098" max="4098" width="7.1640625" style="1634" customWidth="1"/>
    <col min="4099" max="4099" width="13.33203125" style="1634" customWidth="1"/>
    <col min="4100" max="4100" width="5.1640625" style="1634" customWidth="1"/>
    <col min="4101" max="4101" width="61.6640625" style="1634" customWidth="1"/>
    <col min="4102" max="4102" width="9" style="1634" customWidth="1"/>
    <col min="4103" max="4103" width="11.33203125" style="1634" customWidth="1"/>
    <col min="4104" max="4104" width="12.83203125" style="1634" customWidth="1"/>
    <col min="4105" max="4106" width="15.83203125" style="1634" customWidth="1"/>
    <col min="4107" max="4107" width="29" style="1634" customWidth="1"/>
    <col min="4108" max="4108" width="10.1640625" style="1634" customWidth="1"/>
    <col min="4109" max="4109" width="85.1640625" style="1634" customWidth="1"/>
    <col min="4110" max="4110" width="29.83203125" style="1634" customWidth="1"/>
    <col min="4111" max="4111" width="12.1640625" style="1634" customWidth="1"/>
    <col min="4112" max="4112" width="18.1640625" style="1634" customWidth="1"/>
    <col min="4113" max="4113" width="16.33203125" style="1634" customWidth="1"/>
    <col min="4114" max="4114" width="7.1640625" style="1634" customWidth="1"/>
    <col min="4115" max="4116" width="9" style="1634" customWidth="1"/>
    <col min="4117" max="4352" width="8.83203125" style="1634" customWidth="1"/>
    <col min="4353" max="4353" width="61.6640625" style="1634" customWidth="1"/>
    <col min="4354" max="4354" width="7.1640625" style="1634" customWidth="1"/>
    <col min="4355" max="4355" width="13.33203125" style="1634" customWidth="1"/>
    <col min="4356" max="4356" width="5.1640625" style="1634" customWidth="1"/>
    <col min="4357" max="4357" width="61.6640625" style="1634" customWidth="1"/>
    <col min="4358" max="4358" width="9" style="1634" customWidth="1"/>
    <col min="4359" max="4359" width="11.33203125" style="1634" customWidth="1"/>
    <col min="4360" max="4360" width="12.83203125" style="1634" customWidth="1"/>
    <col min="4361" max="4362" width="15.83203125" style="1634" customWidth="1"/>
    <col min="4363" max="4363" width="29" style="1634" customWidth="1"/>
    <col min="4364" max="4364" width="10.1640625" style="1634" customWidth="1"/>
    <col min="4365" max="4365" width="85.1640625" style="1634" customWidth="1"/>
    <col min="4366" max="4366" width="29.83203125" style="1634" customWidth="1"/>
    <col min="4367" max="4367" width="12.1640625" style="1634" customWidth="1"/>
    <col min="4368" max="4368" width="18.1640625" style="1634" customWidth="1"/>
    <col min="4369" max="4369" width="16.33203125" style="1634" customWidth="1"/>
    <col min="4370" max="4370" width="7.1640625" style="1634" customWidth="1"/>
    <col min="4371" max="4372" width="9" style="1634" customWidth="1"/>
    <col min="4373" max="4608" width="8.83203125" style="1634" customWidth="1"/>
    <col min="4609" max="4609" width="61.6640625" style="1634" customWidth="1"/>
    <col min="4610" max="4610" width="7.1640625" style="1634" customWidth="1"/>
    <col min="4611" max="4611" width="13.33203125" style="1634" customWidth="1"/>
    <col min="4612" max="4612" width="5.1640625" style="1634" customWidth="1"/>
    <col min="4613" max="4613" width="61.6640625" style="1634" customWidth="1"/>
    <col min="4614" max="4614" width="9" style="1634" customWidth="1"/>
    <col min="4615" max="4615" width="11.33203125" style="1634" customWidth="1"/>
    <col min="4616" max="4616" width="12.83203125" style="1634" customWidth="1"/>
    <col min="4617" max="4618" width="15.83203125" style="1634" customWidth="1"/>
    <col min="4619" max="4619" width="29" style="1634" customWidth="1"/>
    <col min="4620" max="4620" width="10.1640625" style="1634" customWidth="1"/>
    <col min="4621" max="4621" width="85.1640625" style="1634" customWidth="1"/>
    <col min="4622" max="4622" width="29.83203125" style="1634" customWidth="1"/>
    <col min="4623" max="4623" width="12.1640625" style="1634" customWidth="1"/>
    <col min="4624" max="4624" width="18.1640625" style="1634" customWidth="1"/>
    <col min="4625" max="4625" width="16.33203125" style="1634" customWidth="1"/>
    <col min="4626" max="4626" width="7.1640625" style="1634" customWidth="1"/>
    <col min="4627" max="4628" width="9" style="1634" customWidth="1"/>
    <col min="4629" max="4864" width="8.83203125" style="1634" customWidth="1"/>
    <col min="4865" max="4865" width="61.6640625" style="1634" customWidth="1"/>
    <col min="4866" max="4866" width="7.1640625" style="1634" customWidth="1"/>
    <col min="4867" max="4867" width="13.33203125" style="1634" customWidth="1"/>
    <col min="4868" max="4868" width="5.1640625" style="1634" customWidth="1"/>
    <col min="4869" max="4869" width="61.6640625" style="1634" customWidth="1"/>
    <col min="4870" max="4870" width="9" style="1634" customWidth="1"/>
    <col min="4871" max="4871" width="11.33203125" style="1634" customWidth="1"/>
    <col min="4872" max="4872" width="12.83203125" style="1634" customWidth="1"/>
    <col min="4873" max="4874" width="15.83203125" style="1634" customWidth="1"/>
    <col min="4875" max="4875" width="29" style="1634" customWidth="1"/>
    <col min="4876" max="4876" width="10.1640625" style="1634" customWidth="1"/>
    <col min="4877" max="4877" width="85.1640625" style="1634" customWidth="1"/>
    <col min="4878" max="4878" width="29.83203125" style="1634" customWidth="1"/>
    <col min="4879" max="4879" width="12.1640625" style="1634" customWidth="1"/>
    <col min="4880" max="4880" width="18.1640625" style="1634" customWidth="1"/>
    <col min="4881" max="4881" width="16.33203125" style="1634" customWidth="1"/>
    <col min="4882" max="4882" width="7.1640625" style="1634" customWidth="1"/>
    <col min="4883" max="4884" width="9" style="1634" customWidth="1"/>
    <col min="4885" max="5120" width="8.83203125" style="1634" customWidth="1"/>
    <col min="5121" max="5121" width="61.6640625" style="1634" customWidth="1"/>
    <col min="5122" max="5122" width="7.1640625" style="1634" customWidth="1"/>
    <col min="5123" max="5123" width="13.33203125" style="1634" customWidth="1"/>
    <col min="5124" max="5124" width="5.1640625" style="1634" customWidth="1"/>
    <col min="5125" max="5125" width="61.6640625" style="1634" customWidth="1"/>
    <col min="5126" max="5126" width="9" style="1634" customWidth="1"/>
    <col min="5127" max="5127" width="11.33203125" style="1634" customWidth="1"/>
    <col min="5128" max="5128" width="12.83203125" style="1634" customWidth="1"/>
    <col min="5129" max="5130" width="15.83203125" style="1634" customWidth="1"/>
    <col min="5131" max="5131" width="29" style="1634" customWidth="1"/>
    <col min="5132" max="5132" width="10.1640625" style="1634" customWidth="1"/>
    <col min="5133" max="5133" width="85.1640625" style="1634" customWidth="1"/>
    <col min="5134" max="5134" width="29.83203125" style="1634" customWidth="1"/>
    <col min="5135" max="5135" width="12.1640625" style="1634" customWidth="1"/>
    <col min="5136" max="5136" width="18.1640625" style="1634" customWidth="1"/>
    <col min="5137" max="5137" width="16.33203125" style="1634" customWidth="1"/>
    <col min="5138" max="5138" width="7.1640625" style="1634" customWidth="1"/>
    <col min="5139" max="5140" width="9" style="1634" customWidth="1"/>
    <col min="5141" max="5376" width="8.83203125" style="1634" customWidth="1"/>
    <col min="5377" max="5377" width="61.6640625" style="1634" customWidth="1"/>
    <col min="5378" max="5378" width="7.1640625" style="1634" customWidth="1"/>
    <col min="5379" max="5379" width="13.33203125" style="1634" customWidth="1"/>
    <col min="5380" max="5380" width="5.1640625" style="1634" customWidth="1"/>
    <col min="5381" max="5381" width="61.6640625" style="1634" customWidth="1"/>
    <col min="5382" max="5382" width="9" style="1634" customWidth="1"/>
    <col min="5383" max="5383" width="11.33203125" style="1634" customWidth="1"/>
    <col min="5384" max="5384" width="12.83203125" style="1634" customWidth="1"/>
    <col min="5385" max="5386" width="15.83203125" style="1634" customWidth="1"/>
    <col min="5387" max="5387" width="29" style="1634" customWidth="1"/>
    <col min="5388" max="5388" width="10.1640625" style="1634" customWidth="1"/>
    <col min="5389" max="5389" width="85.1640625" style="1634" customWidth="1"/>
    <col min="5390" max="5390" width="29.83203125" style="1634" customWidth="1"/>
    <col min="5391" max="5391" width="12.1640625" style="1634" customWidth="1"/>
    <col min="5392" max="5392" width="18.1640625" style="1634" customWidth="1"/>
    <col min="5393" max="5393" width="16.33203125" style="1634" customWidth="1"/>
    <col min="5394" max="5394" width="7.1640625" style="1634" customWidth="1"/>
    <col min="5395" max="5396" width="9" style="1634" customWidth="1"/>
    <col min="5397" max="5632" width="8.83203125" style="1634" customWidth="1"/>
    <col min="5633" max="5633" width="61.6640625" style="1634" customWidth="1"/>
    <col min="5634" max="5634" width="7.1640625" style="1634" customWidth="1"/>
    <col min="5635" max="5635" width="13.33203125" style="1634" customWidth="1"/>
    <col min="5636" max="5636" width="5.1640625" style="1634" customWidth="1"/>
    <col min="5637" max="5637" width="61.6640625" style="1634" customWidth="1"/>
    <col min="5638" max="5638" width="9" style="1634" customWidth="1"/>
    <col min="5639" max="5639" width="11.33203125" style="1634" customWidth="1"/>
    <col min="5640" max="5640" width="12.83203125" style="1634" customWidth="1"/>
    <col min="5641" max="5642" width="15.83203125" style="1634" customWidth="1"/>
    <col min="5643" max="5643" width="29" style="1634" customWidth="1"/>
    <col min="5644" max="5644" width="10.1640625" style="1634" customWidth="1"/>
    <col min="5645" max="5645" width="85.1640625" style="1634" customWidth="1"/>
    <col min="5646" max="5646" width="29.83203125" style="1634" customWidth="1"/>
    <col min="5647" max="5647" width="12.1640625" style="1634" customWidth="1"/>
    <col min="5648" max="5648" width="18.1640625" style="1634" customWidth="1"/>
    <col min="5649" max="5649" width="16.33203125" style="1634" customWidth="1"/>
    <col min="5650" max="5650" width="7.1640625" style="1634" customWidth="1"/>
    <col min="5651" max="5652" width="9" style="1634" customWidth="1"/>
    <col min="5653" max="5888" width="8.83203125" style="1634" customWidth="1"/>
    <col min="5889" max="5889" width="61.6640625" style="1634" customWidth="1"/>
    <col min="5890" max="5890" width="7.1640625" style="1634" customWidth="1"/>
    <col min="5891" max="5891" width="13.33203125" style="1634" customWidth="1"/>
    <col min="5892" max="5892" width="5.1640625" style="1634" customWidth="1"/>
    <col min="5893" max="5893" width="61.6640625" style="1634" customWidth="1"/>
    <col min="5894" max="5894" width="9" style="1634" customWidth="1"/>
    <col min="5895" max="5895" width="11.33203125" style="1634" customWidth="1"/>
    <col min="5896" max="5896" width="12.83203125" style="1634" customWidth="1"/>
    <col min="5897" max="5898" width="15.83203125" style="1634" customWidth="1"/>
    <col min="5899" max="5899" width="29" style="1634" customWidth="1"/>
    <col min="5900" max="5900" width="10.1640625" style="1634" customWidth="1"/>
    <col min="5901" max="5901" width="85.1640625" style="1634" customWidth="1"/>
    <col min="5902" max="5902" width="29.83203125" style="1634" customWidth="1"/>
    <col min="5903" max="5903" width="12.1640625" style="1634" customWidth="1"/>
    <col min="5904" max="5904" width="18.1640625" style="1634" customWidth="1"/>
    <col min="5905" max="5905" width="16.33203125" style="1634" customWidth="1"/>
    <col min="5906" max="5906" width="7.1640625" style="1634" customWidth="1"/>
    <col min="5907" max="5908" width="9" style="1634" customWidth="1"/>
    <col min="5909" max="6144" width="8.83203125" style="1634" customWidth="1"/>
    <col min="6145" max="6145" width="61.6640625" style="1634" customWidth="1"/>
    <col min="6146" max="6146" width="7.1640625" style="1634" customWidth="1"/>
    <col min="6147" max="6147" width="13.33203125" style="1634" customWidth="1"/>
    <col min="6148" max="6148" width="5.1640625" style="1634" customWidth="1"/>
    <col min="6149" max="6149" width="61.6640625" style="1634" customWidth="1"/>
    <col min="6150" max="6150" width="9" style="1634" customWidth="1"/>
    <col min="6151" max="6151" width="11.33203125" style="1634" customWidth="1"/>
    <col min="6152" max="6152" width="12.83203125" style="1634" customWidth="1"/>
    <col min="6153" max="6154" width="15.83203125" style="1634" customWidth="1"/>
    <col min="6155" max="6155" width="29" style="1634" customWidth="1"/>
    <col min="6156" max="6156" width="10.1640625" style="1634" customWidth="1"/>
    <col min="6157" max="6157" width="85.1640625" style="1634" customWidth="1"/>
    <col min="6158" max="6158" width="29.83203125" style="1634" customWidth="1"/>
    <col min="6159" max="6159" width="12.1640625" style="1634" customWidth="1"/>
    <col min="6160" max="6160" width="18.1640625" style="1634" customWidth="1"/>
    <col min="6161" max="6161" width="16.33203125" style="1634" customWidth="1"/>
    <col min="6162" max="6162" width="7.1640625" style="1634" customWidth="1"/>
    <col min="6163" max="6164" width="9" style="1634" customWidth="1"/>
    <col min="6165" max="6400" width="8.83203125" style="1634" customWidth="1"/>
    <col min="6401" max="6401" width="61.6640625" style="1634" customWidth="1"/>
    <col min="6402" max="6402" width="7.1640625" style="1634" customWidth="1"/>
    <col min="6403" max="6403" width="13.33203125" style="1634" customWidth="1"/>
    <col min="6404" max="6404" width="5.1640625" style="1634" customWidth="1"/>
    <col min="6405" max="6405" width="61.6640625" style="1634" customWidth="1"/>
    <col min="6406" max="6406" width="9" style="1634" customWidth="1"/>
    <col min="6407" max="6407" width="11.33203125" style="1634" customWidth="1"/>
    <col min="6408" max="6408" width="12.83203125" style="1634" customWidth="1"/>
    <col min="6409" max="6410" width="15.83203125" style="1634" customWidth="1"/>
    <col min="6411" max="6411" width="29" style="1634" customWidth="1"/>
    <col min="6412" max="6412" width="10.1640625" style="1634" customWidth="1"/>
    <col min="6413" max="6413" width="85.1640625" style="1634" customWidth="1"/>
    <col min="6414" max="6414" width="29.83203125" style="1634" customWidth="1"/>
    <col min="6415" max="6415" width="12.1640625" style="1634" customWidth="1"/>
    <col min="6416" max="6416" width="18.1640625" style="1634" customWidth="1"/>
    <col min="6417" max="6417" width="16.33203125" style="1634" customWidth="1"/>
    <col min="6418" max="6418" width="7.1640625" style="1634" customWidth="1"/>
    <col min="6419" max="6420" width="9" style="1634" customWidth="1"/>
    <col min="6421" max="6656" width="8.83203125" style="1634" customWidth="1"/>
    <col min="6657" max="6657" width="61.6640625" style="1634" customWidth="1"/>
    <col min="6658" max="6658" width="7.1640625" style="1634" customWidth="1"/>
    <col min="6659" max="6659" width="13.33203125" style="1634" customWidth="1"/>
    <col min="6660" max="6660" width="5.1640625" style="1634" customWidth="1"/>
    <col min="6661" max="6661" width="61.6640625" style="1634" customWidth="1"/>
    <col min="6662" max="6662" width="9" style="1634" customWidth="1"/>
    <col min="6663" max="6663" width="11.33203125" style="1634" customWidth="1"/>
    <col min="6664" max="6664" width="12.83203125" style="1634" customWidth="1"/>
    <col min="6665" max="6666" width="15.83203125" style="1634" customWidth="1"/>
    <col min="6667" max="6667" width="29" style="1634" customWidth="1"/>
    <col min="6668" max="6668" width="10.1640625" style="1634" customWidth="1"/>
    <col min="6669" max="6669" width="85.1640625" style="1634" customWidth="1"/>
    <col min="6670" max="6670" width="29.83203125" style="1634" customWidth="1"/>
    <col min="6671" max="6671" width="12.1640625" style="1634" customWidth="1"/>
    <col min="6672" max="6672" width="18.1640625" style="1634" customWidth="1"/>
    <col min="6673" max="6673" width="16.33203125" style="1634" customWidth="1"/>
    <col min="6674" max="6674" width="7.1640625" style="1634" customWidth="1"/>
    <col min="6675" max="6676" width="9" style="1634" customWidth="1"/>
    <col min="6677" max="6912" width="8.83203125" style="1634" customWidth="1"/>
    <col min="6913" max="6913" width="61.6640625" style="1634" customWidth="1"/>
    <col min="6914" max="6914" width="7.1640625" style="1634" customWidth="1"/>
    <col min="6915" max="6915" width="13.33203125" style="1634" customWidth="1"/>
    <col min="6916" max="6916" width="5.1640625" style="1634" customWidth="1"/>
    <col min="6917" max="6917" width="61.6640625" style="1634" customWidth="1"/>
    <col min="6918" max="6918" width="9" style="1634" customWidth="1"/>
    <col min="6919" max="6919" width="11.33203125" style="1634" customWidth="1"/>
    <col min="6920" max="6920" width="12.83203125" style="1634" customWidth="1"/>
    <col min="6921" max="6922" width="15.83203125" style="1634" customWidth="1"/>
    <col min="6923" max="6923" width="29" style="1634" customWidth="1"/>
    <col min="6924" max="6924" width="10.1640625" style="1634" customWidth="1"/>
    <col min="6925" max="6925" width="85.1640625" style="1634" customWidth="1"/>
    <col min="6926" max="6926" width="29.83203125" style="1634" customWidth="1"/>
    <col min="6927" max="6927" width="12.1640625" style="1634" customWidth="1"/>
    <col min="6928" max="6928" width="18.1640625" style="1634" customWidth="1"/>
    <col min="6929" max="6929" width="16.33203125" style="1634" customWidth="1"/>
    <col min="6930" max="6930" width="7.1640625" style="1634" customWidth="1"/>
    <col min="6931" max="6932" width="9" style="1634" customWidth="1"/>
    <col min="6933" max="7168" width="8.83203125" style="1634" customWidth="1"/>
    <col min="7169" max="7169" width="61.6640625" style="1634" customWidth="1"/>
    <col min="7170" max="7170" width="7.1640625" style="1634" customWidth="1"/>
    <col min="7171" max="7171" width="13.33203125" style="1634" customWidth="1"/>
    <col min="7172" max="7172" width="5.1640625" style="1634" customWidth="1"/>
    <col min="7173" max="7173" width="61.6640625" style="1634" customWidth="1"/>
    <col min="7174" max="7174" width="9" style="1634" customWidth="1"/>
    <col min="7175" max="7175" width="11.33203125" style="1634" customWidth="1"/>
    <col min="7176" max="7176" width="12.83203125" style="1634" customWidth="1"/>
    <col min="7177" max="7178" width="15.83203125" style="1634" customWidth="1"/>
    <col min="7179" max="7179" width="29" style="1634" customWidth="1"/>
    <col min="7180" max="7180" width="10.1640625" style="1634" customWidth="1"/>
    <col min="7181" max="7181" width="85.1640625" style="1634" customWidth="1"/>
    <col min="7182" max="7182" width="29.83203125" style="1634" customWidth="1"/>
    <col min="7183" max="7183" width="12.1640625" style="1634" customWidth="1"/>
    <col min="7184" max="7184" width="18.1640625" style="1634" customWidth="1"/>
    <col min="7185" max="7185" width="16.33203125" style="1634" customWidth="1"/>
    <col min="7186" max="7186" width="7.1640625" style="1634" customWidth="1"/>
    <col min="7187" max="7188" width="9" style="1634" customWidth="1"/>
    <col min="7189" max="7424" width="8.83203125" style="1634" customWidth="1"/>
    <col min="7425" max="7425" width="61.6640625" style="1634" customWidth="1"/>
    <col min="7426" max="7426" width="7.1640625" style="1634" customWidth="1"/>
    <col min="7427" max="7427" width="13.33203125" style="1634" customWidth="1"/>
    <col min="7428" max="7428" width="5.1640625" style="1634" customWidth="1"/>
    <col min="7429" max="7429" width="61.6640625" style="1634" customWidth="1"/>
    <col min="7430" max="7430" width="9" style="1634" customWidth="1"/>
    <col min="7431" max="7431" width="11.33203125" style="1634" customWidth="1"/>
    <col min="7432" max="7432" width="12.83203125" style="1634" customWidth="1"/>
    <col min="7433" max="7434" width="15.83203125" style="1634" customWidth="1"/>
    <col min="7435" max="7435" width="29" style="1634" customWidth="1"/>
    <col min="7436" max="7436" width="10.1640625" style="1634" customWidth="1"/>
    <col min="7437" max="7437" width="85.1640625" style="1634" customWidth="1"/>
    <col min="7438" max="7438" width="29.83203125" style="1634" customWidth="1"/>
    <col min="7439" max="7439" width="12.1640625" style="1634" customWidth="1"/>
    <col min="7440" max="7440" width="18.1640625" style="1634" customWidth="1"/>
    <col min="7441" max="7441" width="16.33203125" style="1634" customWidth="1"/>
    <col min="7442" max="7442" width="7.1640625" style="1634" customWidth="1"/>
    <col min="7443" max="7444" width="9" style="1634" customWidth="1"/>
    <col min="7445" max="7680" width="8.83203125" style="1634" customWidth="1"/>
    <col min="7681" max="7681" width="61.6640625" style="1634" customWidth="1"/>
    <col min="7682" max="7682" width="7.1640625" style="1634" customWidth="1"/>
    <col min="7683" max="7683" width="13.33203125" style="1634" customWidth="1"/>
    <col min="7684" max="7684" width="5.1640625" style="1634" customWidth="1"/>
    <col min="7685" max="7685" width="61.6640625" style="1634" customWidth="1"/>
    <col min="7686" max="7686" width="9" style="1634" customWidth="1"/>
    <col min="7687" max="7687" width="11.33203125" style="1634" customWidth="1"/>
    <col min="7688" max="7688" width="12.83203125" style="1634" customWidth="1"/>
    <col min="7689" max="7690" width="15.83203125" style="1634" customWidth="1"/>
    <col min="7691" max="7691" width="29" style="1634" customWidth="1"/>
    <col min="7692" max="7692" width="10.1640625" style="1634" customWidth="1"/>
    <col min="7693" max="7693" width="85.1640625" style="1634" customWidth="1"/>
    <col min="7694" max="7694" width="29.83203125" style="1634" customWidth="1"/>
    <col min="7695" max="7695" width="12.1640625" style="1634" customWidth="1"/>
    <col min="7696" max="7696" width="18.1640625" style="1634" customWidth="1"/>
    <col min="7697" max="7697" width="16.33203125" style="1634" customWidth="1"/>
    <col min="7698" max="7698" width="7.1640625" style="1634" customWidth="1"/>
    <col min="7699" max="7700" width="9" style="1634" customWidth="1"/>
    <col min="7701" max="7936" width="8.83203125" style="1634" customWidth="1"/>
    <col min="7937" max="7937" width="61.6640625" style="1634" customWidth="1"/>
    <col min="7938" max="7938" width="7.1640625" style="1634" customWidth="1"/>
    <col min="7939" max="7939" width="13.33203125" style="1634" customWidth="1"/>
    <col min="7940" max="7940" width="5.1640625" style="1634" customWidth="1"/>
    <col min="7941" max="7941" width="61.6640625" style="1634" customWidth="1"/>
    <col min="7942" max="7942" width="9" style="1634" customWidth="1"/>
    <col min="7943" max="7943" width="11.33203125" style="1634" customWidth="1"/>
    <col min="7944" max="7944" width="12.83203125" style="1634" customWidth="1"/>
    <col min="7945" max="7946" width="15.83203125" style="1634" customWidth="1"/>
    <col min="7947" max="7947" width="29" style="1634" customWidth="1"/>
    <col min="7948" max="7948" width="10.1640625" style="1634" customWidth="1"/>
    <col min="7949" max="7949" width="85.1640625" style="1634" customWidth="1"/>
    <col min="7950" max="7950" width="29.83203125" style="1634" customWidth="1"/>
    <col min="7951" max="7951" width="12.1640625" style="1634" customWidth="1"/>
    <col min="7952" max="7952" width="18.1640625" style="1634" customWidth="1"/>
    <col min="7953" max="7953" width="16.33203125" style="1634" customWidth="1"/>
    <col min="7954" max="7954" width="7.1640625" style="1634" customWidth="1"/>
    <col min="7955" max="7956" width="9" style="1634" customWidth="1"/>
    <col min="7957" max="8192" width="8.83203125" style="1634" customWidth="1"/>
    <col min="8193" max="8193" width="61.6640625" style="1634" customWidth="1"/>
    <col min="8194" max="8194" width="7.1640625" style="1634" customWidth="1"/>
    <col min="8195" max="8195" width="13.33203125" style="1634" customWidth="1"/>
    <col min="8196" max="8196" width="5.1640625" style="1634" customWidth="1"/>
    <col min="8197" max="8197" width="61.6640625" style="1634" customWidth="1"/>
    <col min="8198" max="8198" width="9" style="1634" customWidth="1"/>
    <col min="8199" max="8199" width="11.33203125" style="1634" customWidth="1"/>
    <col min="8200" max="8200" width="12.83203125" style="1634" customWidth="1"/>
    <col min="8201" max="8202" width="15.83203125" style="1634" customWidth="1"/>
    <col min="8203" max="8203" width="29" style="1634" customWidth="1"/>
    <col min="8204" max="8204" width="10.1640625" style="1634" customWidth="1"/>
    <col min="8205" max="8205" width="85.1640625" style="1634" customWidth="1"/>
    <col min="8206" max="8206" width="29.83203125" style="1634" customWidth="1"/>
    <col min="8207" max="8207" width="12.1640625" style="1634" customWidth="1"/>
    <col min="8208" max="8208" width="18.1640625" style="1634" customWidth="1"/>
    <col min="8209" max="8209" width="16.33203125" style="1634" customWidth="1"/>
    <col min="8210" max="8210" width="7.1640625" style="1634" customWidth="1"/>
    <col min="8211" max="8212" width="9" style="1634" customWidth="1"/>
    <col min="8213" max="8448" width="8.83203125" style="1634" customWidth="1"/>
    <col min="8449" max="8449" width="61.6640625" style="1634" customWidth="1"/>
    <col min="8450" max="8450" width="7.1640625" style="1634" customWidth="1"/>
    <col min="8451" max="8451" width="13.33203125" style="1634" customWidth="1"/>
    <col min="8452" max="8452" width="5.1640625" style="1634" customWidth="1"/>
    <col min="8453" max="8453" width="61.6640625" style="1634" customWidth="1"/>
    <col min="8454" max="8454" width="9" style="1634" customWidth="1"/>
    <col min="8455" max="8455" width="11.33203125" style="1634" customWidth="1"/>
    <col min="8456" max="8456" width="12.83203125" style="1634" customWidth="1"/>
    <col min="8457" max="8458" width="15.83203125" style="1634" customWidth="1"/>
    <col min="8459" max="8459" width="29" style="1634" customWidth="1"/>
    <col min="8460" max="8460" width="10.1640625" style="1634" customWidth="1"/>
    <col min="8461" max="8461" width="85.1640625" style="1634" customWidth="1"/>
    <col min="8462" max="8462" width="29.83203125" style="1634" customWidth="1"/>
    <col min="8463" max="8463" width="12.1640625" style="1634" customWidth="1"/>
    <col min="8464" max="8464" width="18.1640625" style="1634" customWidth="1"/>
    <col min="8465" max="8465" width="16.33203125" style="1634" customWidth="1"/>
    <col min="8466" max="8466" width="7.1640625" style="1634" customWidth="1"/>
    <col min="8467" max="8468" width="9" style="1634" customWidth="1"/>
    <col min="8469" max="8704" width="8.83203125" style="1634" customWidth="1"/>
    <col min="8705" max="8705" width="61.6640625" style="1634" customWidth="1"/>
    <col min="8706" max="8706" width="7.1640625" style="1634" customWidth="1"/>
    <col min="8707" max="8707" width="13.33203125" style="1634" customWidth="1"/>
    <col min="8708" max="8708" width="5.1640625" style="1634" customWidth="1"/>
    <col min="8709" max="8709" width="61.6640625" style="1634" customWidth="1"/>
    <col min="8710" max="8710" width="9" style="1634" customWidth="1"/>
    <col min="8711" max="8711" width="11.33203125" style="1634" customWidth="1"/>
    <col min="8712" max="8712" width="12.83203125" style="1634" customWidth="1"/>
    <col min="8713" max="8714" width="15.83203125" style="1634" customWidth="1"/>
    <col min="8715" max="8715" width="29" style="1634" customWidth="1"/>
    <col min="8716" max="8716" width="10.1640625" style="1634" customWidth="1"/>
    <col min="8717" max="8717" width="85.1640625" style="1634" customWidth="1"/>
    <col min="8718" max="8718" width="29.83203125" style="1634" customWidth="1"/>
    <col min="8719" max="8719" width="12.1640625" style="1634" customWidth="1"/>
    <col min="8720" max="8720" width="18.1640625" style="1634" customWidth="1"/>
    <col min="8721" max="8721" width="16.33203125" style="1634" customWidth="1"/>
    <col min="8722" max="8722" width="7.1640625" style="1634" customWidth="1"/>
    <col min="8723" max="8724" width="9" style="1634" customWidth="1"/>
    <col min="8725" max="8960" width="8.83203125" style="1634" customWidth="1"/>
    <col min="8961" max="8961" width="61.6640625" style="1634" customWidth="1"/>
    <col min="8962" max="8962" width="7.1640625" style="1634" customWidth="1"/>
    <col min="8963" max="8963" width="13.33203125" style="1634" customWidth="1"/>
    <col min="8964" max="8964" width="5.1640625" style="1634" customWidth="1"/>
    <col min="8965" max="8965" width="61.6640625" style="1634" customWidth="1"/>
    <col min="8966" max="8966" width="9" style="1634" customWidth="1"/>
    <col min="8967" max="8967" width="11.33203125" style="1634" customWidth="1"/>
    <col min="8968" max="8968" width="12.83203125" style="1634" customWidth="1"/>
    <col min="8969" max="8970" width="15.83203125" style="1634" customWidth="1"/>
    <col min="8971" max="8971" width="29" style="1634" customWidth="1"/>
    <col min="8972" max="8972" width="10.1640625" style="1634" customWidth="1"/>
    <col min="8973" max="8973" width="85.1640625" style="1634" customWidth="1"/>
    <col min="8974" max="8974" width="29.83203125" style="1634" customWidth="1"/>
    <col min="8975" max="8975" width="12.1640625" style="1634" customWidth="1"/>
    <col min="8976" max="8976" width="18.1640625" style="1634" customWidth="1"/>
    <col min="8977" max="8977" width="16.33203125" style="1634" customWidth="1"/>
    <col min="8978" max="8978" width="7.1640625" style="1634" customWidth="1"/>
    <col min="8979" max="8980" width="9" style="1634" customWidth="1"/>
    <col min="8981" max="9216" width="8.83203125" style="1634" customWidth="1"/>
    <col min="9217" max="9217" width="61.6640625" style="1634" customWidth="1"/>
    <col min="9218" max="9218" width="7.1640625" style="1634" customWidth="1"/>
    <col min="9219" max="9219" width="13.33203125" style="1634" customWidth="1"/>
    <col min="9220" max="9220" width="5.1640625" style="1634" customWidth="1"/>
    <col min="9221" max="9221" width="61.6640625" style="1634" customWidth="1"/>
    <col min="9222" max="9222" width="9" style="1634" customWidth="1"/>
    <col min="9223" max="9223" width="11.33203125" style="1634" customWidth="1"/>
    <col min="9224" max="9224" width="12.83203125" style="1634" customWidth="1"/>
    <col min="9225" max="9226" width="15.83203125" style="1634" customWidth="1"/>
    <col min="9227" max="9227" width="29" style="1634" customWidth="1"/>
    <col min="9228" max="9228" width="10.1640625" style="1634" customWidth="1"/>
    <col min="9229" max="9229" width="85.1640625" style="1634" customWidth="1"/>
    <col min="9230" max="9230" width="29.83203125" style="1634" customWidth="1"/>
    <col min="9231" max="9231" width="12.1640625" style="1634" customWidth="1"/>
    <col min="9232" max="9232" width="18.1640625" style="1634" customWidth="1"/>
    <col min="9233" max="9233" width="16.33203125" style="1634" customWidth="1"/>
    <col min="9234" max="9234" width="7.1640625" style="1634" customWidth="1"/>
    <col min="9235" max="9236" width="9" style="1634" customWidth="1"/>
    <col min="9237" max="9472" width="8.83203125" style="1634" customWidth="1"/>
    <col min="9473" max="9473" width="61.6640625" style="1634" customWidth="1"/>
    <col min="9474" max="9474" width="7.1640625" style="1634" customWidth="1"/>
    <col min="9475" max="9475" width="13.33203125" style="1634" customWidth="1"/>
    <col min="9476" max="9476" width="5.1640625" style="1634" customWidth="1"/>
    <col min="9477" max="9477" width="61.6640625" style="1634" customWidth="1"/>
    <col min="9478" max="9478" width="9" style="1634" customWidth="1"/>
    <col min="9479" max="9479" width="11.33203125" style="1634" customWidth="1"/>
    <col min="9480" max="9480" width="12.83203125" style="1634" customWidth="1"/>
    <col min="9481" max="9482" width="15.83203125" style="1634" customWidth="1"/>
    <col min="9483" max="9483" width="29" style="1634" customWidth="1"/>
    <col min="9484" max="9484" width="10.1640625" style="1634" customWidth="1"/>
    <col min="9485" max="9485" width="85.1640625" style="1634" customWidth="1"/>
    <col min="9486" max="9486" width="29.83203125" style="1634" customWidth="1"/>
    <col min="9487" max="9487" width="12.1640625" style="1634" customWidth="1"/>
    <col min="9488" max="9488" width="18.1640625" style="1634" customWidth="1"/>
    <col min="9489" max="9489" width="16.33203125" style="1634" customWidth="1"/>
    <col min="9490" max="9490" width="7.1640625" style="1634" customWidth="1"/>
    <col min="9491" max="9492" width="9" style="1634" customWidth="1"/>
    <col min="9493" max="9728" width="8.83203125" style="1634" customWidth="1"/>
    <col min="9729" max="9729" width="61.6640625" style="1634" customWidth="1"/>
    <col min="9730" max="9730" width="7.1640625" style="1634" customWidth="1"/>
    <col min="9731" max="9731" width="13.33203125" style="1634" customWidth="1"/>
    <col min="9732" max="9732" width="5.1640625" style="1634" customWidth="1"/>
    <col min="9733" max="9733" width="61.6640625" style="1634" customWidth="1"/>
    <col min="9734" max="9734" width="9" style="1634" customWidth="1"/>
    <col min="9735" max="9735" width="11.33203125" style="1634" customWidth="1"/>
    <col min="9736" max="9736" width="12.83203125" style="1634" customWidth="1"/>
    <col min="9737" max="9738" width="15.83203125" style="1634" customWidth="1"/>
    <col min="9739" max="9739" width="29" style="1634" customWidth="1"/>
    <col min="9740" max="9740" width="10.1640625" style="1634" customWidth="1"/>
    <col min="9741" max="9741" width="85.1640625" style="1634" customWidth="1"/>
    <col min="9742" max="9742" width="29.83203125" style="1634" customWidth="1"/>
    <col min="9743" max="9743" width="12.1640625" style="1634" customWidth="1"/>
    <col min="9744" max="9744" width="18.1640625" style="1634" customWidth="1"/>
    <col min="9745" max="9745" width="16.33203125" style="1634" customWidth="1"/>
    <col min="9746" max="9746" width="7.1640625" style="1634" customWidth="1"/>
    <col min="9747" max="9748" width="9" style="1634" customWidth="1"/>
    <col min="9749" max="9984" width="8.83203125" style="1634" customWidth="1"/>
    <col min="9985" max="9985" width="61.6640625" style="1634" customWidth="1"/>
    <col min="9986" max="9986" width="7.1640625" style="1634" customWidth="1"/>
    <col min="9987" max="9987" width="13.33203125" style="1634" customWidth="1"/>
    <col min="9988" max="9988" width="5.1640625" style="1634" customWidth="1"/>
    <col min="9989" max="9989" width="61.6640625" style="1634" customWidth="1"/>
    <col min="9990" max="9990" width="9" style="1634" customWidth="1"/>
    <col min="9991" max="9991" width="11.33203125" style="1634" customWidth="1"/>
    <col min="9992" max="9992" width="12.83203125" style="1634" customWidth="1"/>
    <col min="9993" max="9994" width="15.83203125" style="1634" customWidth="1"/>
    <col min="9995" max="9995" width="29" style="1634" customWidth="1"/>
    <col min="9996" max="9996" width="10.1640625" style="1634" customWidth="1"/>
    <col min="9997" max="9997" width="85.1640625" style="1634" customWidth="1"/>
    <col min="9998" max="9998" width="29.83203125" style="1634" customWidth="1"/>
    <col min="9999" max="9999" width="12.1640625" style="1634" customWidth="1"/>
    <col min="10000" max="10000" width="18.1640625" style="1634" customWidth="1"/>
    <col min="10001" max="10001" width="16.33203125" style="1634" customWidth="1"/>
    <col min="10002" max="10002" width="7.1640625" style="1634" customWidth="1"/>
    <col min="10003" max="10004" width="9" style="1634" customWidth="1"/>
    <col min="10005" max="10240" width="8.83203125" style="1634" customWidth="1"/>
    <col min="10241" max="10241" width="61.6640625" style="1634" customWidth="1"/>
    <col min="10242" max="10242" width="7.1640625" style="1634" customWidth="1"/>
    <col min="10243" max="10243" width="13.33203125" style="1634" customWidth="1"/>
    <col min="10244" max="10244" width="5.1640625" style="1634" customWidth="1"/>
    <col min="10245" max="10245" width="61.6640625" style="1634" customWidth="1"/>
    <col min="10246" max="10246" width="9" style="1634" customWidth="1"/>
    <col min="10247" max="10247" width="11.33203125" style="1634" customWidth="1"/>
    <col min="10248" max="10248" width="12.83203125" style="1634" customWidth="1"/>
    <col min="10249" max="10250" width="15.83203125" style="1634" customWidth="1"/>
    <col min="10251" max="10251" width="29" style="1634" customWidth="1"/>
    <col min="10252" max="10252" width="10.1640625" style="1634" customWidth="1"/>
    <col min="10253" max="10253" width="85.1640625" style="1634" customWidth="1"/>
    <col min="10254" max="10254" width="29.83203125" style="1634" customWidth="1"/>
    <col min="10255" max="10255" width="12.1640625" style="1634" customWidth="1"/>
    <col min="10256" max="10256" width="18.1640625" style="1634" customWidth="1"/>
    <col min="10257" max="10257" width="16.33203125" style="1634" customWidth="1"/>
    <col min="10258" max="10258" width="7.1640625" style="1634" customWidth="1"/>
    <col min="10259" max="10260" width="9" style="1634" customWidth="1"/>
    <col min="10261" max="10496" width="8.83203125" style="1634" customWidth="1"/>
    <col min="10497" max="10497" width="61.6640625" style="1634" customWidth="1"/>
    <col min="10498" max="10498" width="7.1640625" style="1634" customWidth="1"/>
    <col min="10499" max="10499" width="13.33203125" style="1634" customWidth="1"/>
    <col min="10500" max="10500" width="5.1640625" style="1634" customWidth="1"/>
    <col min="10501" max="10501" width="61.6640625" style="1634" customWidth="1"/>
    <col min="10502" max="10502" width="9" style="1634" customWidth="1"/>
    <col min="10503" max="10503" width="11.33203125" style="1634" customWidth="1"/>
    <col min="10504" max="10504" width="12.83203125" style="1634" customWidth="1"/>
    <col min="10505" max="10506" width="15.83203125" style="1634" customWidth="1"/>
    <col min="10507" max="10507" width="29" style="1634" customWidth="1"/>
    <col min="10508" max="10508" width="10.1640625" style="1634" customWidth="1"/>
    <col min="10509" max="10509" width="85.1640625" style="1634" customWidth="1"/>
    <col min="10510" max="10510" width="29.83203125" style="1634" customWidth="1"/>
    <col min="10511" max="10511" width="12.1640625" style="1634" customWidth="1"/>
    <col min="10512" max="10512" width="18.1640625" style="1634" customWidth="1"/>
    <col min="10513" max="10513" width="16.33203125" style="1634" customWidth="1"/>
    <col min="10514" max="10514" width="7.1640625" style="1634" customWidth="1"/>
    <col min="10515" max="10516" width="9" style="1634" customWidth="1"/>
    <col min="10517" max="10752" width="8.83203125" style="1634" customWidth="1"/>
    <col min="10753" max="10753" width="61.6640625" style="1634" customWidth="1"/>
    <col min="10754" max="10754" width="7.1640625" style="1634" customWidth="1"/>
    <col min="10755" max="10755" width="13.33203125" style="1634" customWidth="1"/>
    <col min="10756" max="10756" width="5.1640625" style="1634" customWidth="1"/>
    <col min="10757" max="10757" width="61.6640625" style="1634" customWidth="1"/>
    <col min="10758" max="10758" width="9" style="1634" customWidth="1"/>
    <col min="10759" max="10759" width="11.33203125" style="1634" customWidth="1"/>
    <col min="10760" max="10760" width="12.83203125" style="1634" customWidth="1"/>
    <col min="10761" max="10762" width="15.83203125" style="1634" customWidth="1"/>
    <col min="10763" max="10763" width="29" style="1634" customWidth="1"/>
    <col min="10764" max="10764" width="10.1640625" style="1634" customWidth="1"/>
    <col min="10765" max="10765" width="85.1640625" style="1634" customWidth="1"/>
    <col min="10766" max="10766" width="29.83203125" style="1634" customWidth="1"/>
    <col min="10767" max="10767" width="12.1640625" style="1634" customWidth="1"/>
    <col min="10768" max="10768" width="18.1640625" style="1634" customWidth="1"/>
    <col min="10769" max="10769" width="16.33203125" style="1634" customWidth="1"/>
    <col min="10770" max="10770" width="7.1640625" style="1634" customWidth="1"/>
    <col min="10771" max="10772" width="9" style="1634" customWidth="1"/>
    <col min="10773" max="11008" width="8.83203125" style="1634" customWidth="1"/>
    <col min="11009" max="11009" width="61.6640625" style="1634" customWidth="1"/>
    <col min="11010" max="11010" width="7.1640625" style="1634" customWidth="1"/>
    <col min="11011" max="11011" width="13.33203125" style="1634" customWidth="1"/>
    <col min="11012" max="11012" width="5.1640625" style="1634" customWidth="1"/>
    <col min="11013" max="11013" width="61.6640625" style="1634" customWidth="1"/>
    <col min="11014" max="11014" width="9" style="1634" customWidth="1"/>
    <col min="11015" max="11015" width="11.33203125" style="1634" customWidth="1"/>
    <col min="11016" max="11016" width="12.83203125" style="1634" customWidth="1"/>
    <col min="11017" max="11018" width="15.83203125" style="1634" customWidth="1"/>
    <col min="11019" max="11019" width="29" style="1634" customWidth="1"/>
    <col min="11020" max="11020" width="10.1640625" style="1634" customWidth="1"/>
    <col min="11021" max="11021" width="85.1640625" style="1634" customWidth="1"/>
    <col min="11022" max="11022" width="29.83203125" style="1634" customWidth="1"/>
    <col min="11023" max="11023" width="12.1640625" style="1634" customWidth="1"/>
    <col min="11024" max="11024" width="18.1640625" style="1634" customWidth="1"/>
    <col min="11025" max="11025" width="16.33203125" style="1634" customWidth="1"/>
    <col min="11026" max="11026" width="7.1640625" style="1634" customWidth="1"/>
    <col min="11027" max="11028" width="9" style="1634" customWidth="1"/>
    <col min="11029" max="11264" width="8.83203125" style="1634" customWidth="1"/>
    <col min="11265" max="11265" width="61.6640625" style="1634" customWidth="1"/>
    <col min="11266" max="11266" width="7.1640625" style="1634" customWidth="1"/>
    <col min="11267" max="11267" width="13.33203125" style="1634" customWidth="1"/>
    <col min="11268" max="11268" width="5.1640625" style="1634" customWidth="1"/>
    <col min="11269" max="11269" width="61.6640625" style="1634" customWidth="1"/>
    <col min="11270" max="11270" width="9" style="1634" customWidth="1"/>
    <col min="11271" max="11271" width="11.33203125" style="1634" customWidth="1"/>
    <col min="11272" max="11272" width="12.83203125" style="1634" customWidth="1"/>
    <col min="11273" max="11274" width="15.83203125" style="1634" customWidth="1"/>
    <col min="11275" max="11275" width="29" style="1634" customWidth="1"/>
    <col min="11276" max="11276" width="10.1640625" style="1634" customWidth="1"/>
    <col min="11277" max="11277" width="85.1640625" style="1634" customWidth="1"/>
    <col min="11278" max="11278" width="29.83203125" style="1634" customWidth="1"/>
    <col min="11279" max="11279" width="12.1640625" style="1634" customWidth="1"/>
    <col min="11280" max="11280" width="18.1640625" style="1634" customWidth="1"/>
    <col min="11281" max="11281" width="16.33203125" style="1634" customWidth="1"/>
    <col min="11282" max="11282" width="7.1640625" style="1634" customWidth="1"/>
    <col min="11283" max="11284" width="9" style="1634" customWidth="1"/>
    <col min="11285" max="11520" width="8.83203125" style="1634" customWidth="1"/>
    <col min="11521" max="11521" width="61.6640625" style="1634" customWidth="1"/>
    <col min="11522" max="11522" width="7.1640625" style="1634" customWidth="1"/>
    <col min="11523" max="11523" width="13.33203125" style="1634" customWidth="1"/>
    <col min="11524" max="11524" width="5.1640625" style="1634" customWidth="1"/>
    <col min="11525" max="11525" width="61.6640625" style="1634" customWidth="1"/>
    <col min="11526" max="11526" width="9" style="1634" customWidth="1"/>
    <col min="11527" max="11527" width="11.33203125" style="1634" customWidth="1"/>
    <col min="11528" max="11528" width="12.83203125" style="1634" customWidth="1"/>
    <col min="11529" max="11530" width="15.83203125" style="1634" customWidth="1"/>
    <col min="11531" max="11531" width="29" style="1634" customWidth="1"/>
    <col min="11532" max="11532" width="10.1640625" style="1634" customWidth="1"/>
    <col min="11533" max="11533" width="85.1640625" style="1634" customWidth="1"/>
    <col min="11534" max="11534" width="29.83203125" style="1634" customWidth="1"/>
    <col min="11535" max="11535" width="12.1640625" style="1634" customWidth="1"/>
    <col min="11536" max="11536" width="18.1640625" style="1634" customWidth="1"/>
    <col min="11537" max="11537" width="16.33203125" style="1634" customWidth="1"/>
    <col min="11538" max="11538" width="7.1640625" style="1634" customWidth="1"/>
    <col min="11539" max="11540" width="9" style="1634" customWidth="1"/>
    <col min="11541" max="11776" width="8.83203125" style="1634" customWidth="1"/>
    <col min="11777" max="11777" width="61.6640625" style="1634" customWidth="1"/>
    <col min="11778" max="11778" width="7.1640625" style="1634" customWidth="1"/>
    <col min="11779" max="11779" width="13.33203125" style="1634" customWidth="1"/>
    <col min="11780" max="11780" width="5.1640625" style="1634" customWidth="1"/>
    <col min="11781" max="11781" width="61.6640625" style="1634" customWidth="1"/>
    <col min="11782" max="11782" width="9" style="1634" customWidth="1"/>
    <col min="11783" max="11783" width="11.33203125" style="1634" customWidth="1"/>
    <col min="11784" max="11784" width="12.83203125" style="1634" customWidth="1"/>
    <col min="11785" max="11786" width="15.83203125" style="1634" customWidth="1"/>
    <col min="11787" max="11787" width="29" style="1634" customWidth="1"/>
    <col min="11788" max="11788" width="10.1640625" style="1634" customWidth="1"/>
    <col min="11789" max="11789" width="85.1640625" style="1634" customWidth="1"/>
    <col min="11790" max="11790" width="29.83203125" style="1634" customWidth="1"/>
    <col min="11791" max="11791" width="12.1640625" style="1634" customWidth="1"/>
    <col min="11792" max="11792" width="18.1640625" style="1634" customWidth="1"/>
    <col min="11793" max="11793" width="16.33203125" style="1634" customWidth="1"/>
    <col min="11794" max="11794" width="7.1640625" style="1634" customWidth="1"/>
    <col min="11795" max="11796" width="9" style="1634" customWidth="1"/>
    <col min="11797" max="12032" width="8.83203125" style="1634" customWidth="1"/>
    <col min="12033" max="12033" width="61.6640625" style="1634" customWidth="1"/>
    <col min="12034" max="12034" width="7.1640625" style="1634" customWidth="1"/>
    <col min="12035" max="12035" width="13.33203125" style="1634" customWidth="1"/>
    <col min="12036" max="12036" width="5.1640625" style="1634" customWidth="1"/>
    <col min="12037" max="12037" width="61.6640625" style="1634" customWidth="1"/>
    <col min="12038" max="12038" width="9" style="1634" customWidth="1"/>
    <col min="12039" max="12039" width="11.33203125" style="1634" customWidth="1"/>
    <col min="12040" max="12040" width="12.83203125" style="1634" customWidth="1"/>
    <col min="12041" max="12042" width="15.83203125" style="1634" customWidth="1"/>
    <col min="12043" max="12043" width="29" style="1634" customWidth="1"/>
    <col min="12044" max="12044" width="10.1640625" style="1634" customWidth="1"/>
    <col min="12045" max="12045" width="85.1640625" style="1634" customWidth="1"/>
    <col min="12046" max="12046" width="29.83203125" style="1634" customWidth="1"/>
    <col min="12047" max="12047" width="12.1640625" style="1634" customWidth="1"/>
    <col min="12048" max="12048" width="18.1640625" style="1634" customWidth="1"/>
    <col min="12049" max="12049" width="16.33203125" style="1634" customWidth="1"/>
    <col min="12050" max="12050" width="7.1640625" style="1634" customWidth="1"/>
    <col min="12051" max="12052" width="9" style="1634" customWidth="1"/>
    <col min="12053" max="12288" width="8.83203125" style="1634" customWidth="1"/>
    <col min="12289" max="12289" width="61.6640625" style="1634" customWidth="1"/>
    <col min="12290" max="12290" width="7.1640625" style="1634" customWidth="1"/>
    <col min="12291" max="12291" width="13.33203125" style="1634" customWidth="1"/>
    <col min="12292" max="12292" width="5.1640625" style="1634" customWidth="1"/>
    <col min="12293" max="12293" width="61.6640625" style="1634" customWidth="1"/>
    <col min="12294" max="12294" width="9" style="1634" customWidth="1"/>
    <col min="12295" max="12295" width="11.33203125" style="1634" customWidth="1"/>
    <col min="12296" max="12296" width="12.83203125" style="1634" customWidth="1"/>
    <col min="12297" max="12298" width="15.83203125" style="1634" customWidth="1"/>
    <col min="12299" max="12299" width="29" style="1634" customWidth="1"/>
    <col min="12300" max="12300" width="10.1640625" style="1634" customWidth="1"/>
    <col min="12301" max="12301" width="85.1640625" style="1634" customWidth="1"/>
    <col min="12302" max="12302" width="29.83203125" style="1634" customWidth="1"/>
    <col min="12303" max="12303" width="12.1640625" style="1634" customWidth="1"/>
    <col min="12304" max="12304" width="18.1640625" style="1634" customWidth="1"/>
    <col min="12305" max="12305" width="16.33203125" style="1634" customWidth="1"/>
    <col min="12306" max="12306" width="7.1640625" style="1634" customWidth="1"/>
    <col min="12307" max="12308" width="9" style="1634" customWidth="1"/>
    <col min="12309" max="12544" width="8.83203125" style="1634" customWidth="1"/>
    <col min="12545" max="12545" width="61.6640625" style="1634" customWidth="1"/>
    <col min="12546" max="12546" width="7.1640625" style="1634" customWidth="1"/>
    <col min="12547" max="12547" width="13.33203125" style="1634" customWidth="1"/>
    <col min="12548" max="12548" width="5.1640625" style="1634" customWidth="1"/>
    <col min="12549" max="12549" width="61.6640625" style="1634" customWidth="1"/>
    <col min="12550" max="12550" width="9" style="1634" customWidth="1"/>
    <col min="12551" max="12551" width="11.33203125" style="1634" customWidth="1"/>
    <col min="12552" max="12552" width="12.83203125" style="1634" customWidth="1"/>
    <col min="12553" max="12554" width="15.83203125" style="1634" customWidth="1"/>
    <col min="12555" max="12555" width="29" style="1634" customWidth="1"/>
    <col min="12556" max="12556" width="10.1640625" style="1634" customWidth="1"/>
    <col min="12557" max="12557" width="85.1640625" style="1634" customWidth="1"/>
    <col min="12558" max="12558" width="29.83203125" style="1634" customWidth="1"/>
    <col min="12559" max="12559" width="12.1640625" style="1634" customWidth="1"/>
    <col min="12560" max="12560" width="18.1640625" style="1634" customWidth="1"/>
    <col min="12561" max="12561" width="16.33203125" style="1634" customWidth="1"/>
    <col min="12562" max="12562" width="7.1640625" style="1634" customWidth="1"/>
    <col min="12563" max="12564" width="9" style="1634" customWidth="1"/>
    <col min="12565" max="12800" width="8.83203125" style="1634" customWidth="1"/>
    <col min="12801" max="12801" width="61.6640625" style="1634" customWidth="1"/>
    <col min="12802" max="12802" width="7.1640625" style="1634" customWidth="1"/>
    <col min="12803" max="12803" width="13.33203125" style="1634" customWidth="1"/>
    <col min="12804" max="12804" width="5.1640625" style="1634" customWidth="1"/>
    <col min="12805" max="12805" width="61.6640625" style="1634" customWidth="1"/>
    <col min="12806" max="12806" width="9" style="1634" customWidth="1"/>
    <col min="12807" max="12807" width="11.33203125" style="1634" customWidth="1"/>
    <col min="12808" max="12808" width="12.83203125" style="1634" customWidth="1"/>
    <col min="12809" max="12810" width="15.83203125" style="1634" customWidth="1"/>
    <col min="12811" max="12811" width="29" style="1634" customWidth="1"/>
    <col min="12812" max="12812" width="10.1640625" style="1634" customWidth="1"/>
    <col min="12813" max="12813" width="85.1640625" style="1634" customWidth="1"/>
    <col min="12814" max="12814" width="29.83203125" style="1634" customWidth="1"/>
    <col min="12815" max="12815" width="12.1640625" style="1634" customWidth="1"/>
    <col min="12816" max="12816" width="18.1640625" style="1634" customWidth="1"/>
    <col min="12817" max="12817" width="16.33203125" style="1634" customWidth="1"/>
    <col min="12818" max="12818" width="7.1640625" style="1634" customWidth="1"/>
    <col min="12819" max="12820" width="9" style="1634" customWidth="1"/>
    <col min="12821" max="13056" width="8.83203125" style="1634" customWidth="1"/>
    <col min="13057" max="13057" width="61.6640625" style="1634" customWidth="1"/>
    <col min="13058" max="13058" width="7.1640625" style="1634" customWidth="1"/>
    <col min="13059" max="13059" width="13.33203125" style="1634" customWidth="1"/>
    <col min="13060" max="13060" width="5.1640625" style="1634" customWidth="1"/>
    <col min="13061" max="13061" width="61.6640625" style="1634" customWidth="1"/>
    <col min="13062" max="13062" width="9" style="1634" customWidth="1"/>
    <col min="13063" max="13063" width="11.33203125" style="1634" customWidth="1"/>
    <col min="13064" max="13064" width="12.83203125" style="1634" customWidth="1"/>
    <col min="13065" max="13066" width="15.83203125" style="1634" customWidth="1"/>
    <col min="13067" max="13067" width="29" style="1634" customWidth="1"/>
    <col min="13068" max="13068" width="10.1640625" style="1634" customWidth="1"/>
    <col min="13069" max="13069" width="85.1640625" style="1634" customWidth="1"/>
    <col min="13070" max="13070" width="29.83203125" style="1634" customWidth="1"/>
    <col min="13071" max="13071" width="12.1640625" style="1634" customWidth="1"/>
    <col min="13072" max="13072" width="18.1640625" style="1634" customWidth="1"/>
    <col min="13073" max="13073" width="16.33203125" style="1634" customWidth="1"/>
    <col min="13074" max="13074" width="7.1640625" style="1634" customWidth="1"/>
    <col min="13075" max="13076" width="9" style="1634" customWidth="1"/>
    <col min="13077" max="13312" width="8.83203125" style="1634" customWidth="1"/>
    <col min="13313" max="13313" width="61.6640625" style="1634" customWidth="1"/>
    <col min="13314" max="13314" width="7.1640625" style="1634" customWidth="1"/>
    <col min="13315" max="13315" width="13.33203125" style="1634" customWidth="1"/>
    <col min="13316" max="13316" width="5.1640625" style="1634" customWidth="1"/>
    <col min="13317" max="13317" width="61.6640625" style="1634" customWidth="1"/>
    <col min="13318" max="13318" width="9" style="1634" customWidth="1"/>
    <col min="13319" max="13319" width="11.33203125" style="1634" customWidth="1"/>
    <col min="13320" max="13320" width="12.83203125" style="1634" customWidth="1"/>
    <col min="13321" max="13322" width="15.83203125" style="1634" customWidth="1"/>
    <col min="13323" max="13323" width="29" style="1634" customWidth="1"/>
    <col min="13324" max="13324" width="10.1640625" style="1634" customWidth="1"/>
    <col min="13325" max="13325" width="85.1640625" style="1634" customWidth="1"/>
    <col min="13326" max="13326" width="29.83203125" style="1634" customWidth="1"/>
    <col min="13327" max="13327" width="12.1640625" style="1634" customWidth="1"/>
    <col min="13328" max="13328" width="18.1640625" style="1634" customWidth="1"/>
    <col min="13329" max="13329" width="16.33203125" style="1634" customWidth="1"/>
    <col min="13330" max="13330" width="7.1640625" style="1634" customWidth="1"/>
    <col min="13331" max="13332" width="9" style="1634" customWidth="1"/>
    <col min="13333" max="13568" width="8.83203125" style="1634" customWidth="1"/>
    <col min="13569" max="13569" width="61.6640625" style="1634" customWidth="1"/>
    <col min="13570" max="13570" width="7.1640625" style="1634" customWidth="1"/>
    <col min="13571" max="13571" width="13.33203125" style="1634" customWidth="1"/>
    <col min="13572" max="13572" width="5.1640625" style="1634" customWidth="1"/>
    <col min="13573" max="13573" width="61.6640625" style="1634" customWidth="1"/>
    <col min="13574" max="13574" width="9" style="1634" customWidth="1"/>
    <col min="13575" max="13575" width="11.33203125" style="1634" customWidth="1"/>
    <col min="13576" max="13576" width="12.83203125" style="1634" customWidth="1"/>
    <col min="13577" max="13578" width="15.83203125" style="1634" customWidth="1"/>
    <col min="13579" max="13579" width="29" style="1634" customWidth="1"/>
    <col min="13580" max="13580" width="10.1640625" style="1634" customWidth="1"/>
    <col min="13581" max="13581" width="85.1640625" style="1634" customWidth="1"/>
    <col min="13582" max="13582" width="29.83203125" style="1634" customWidth="1"/>
    <col min="13583" max="13583" width="12.1640625" style="1634" customWidth="1"/>
    <col min="13584" max="13584" width="18.1640625" style="1634" customWidth="1"/>
    <col min="13585" max="13585" width="16.33203125" style="1634" customWidth="1"/>
    <col min="13586" max="13586" width="7.1640625" style="1634" customWidth="1"/>
    <col min="13587" max="13588" width="9" style="1634" customWidth="1"/>
    <col min="13589" max="13824" width="8.83203125" style="1634" customWidth="1"/>
    <col min="13825" max="13825" width="61.6640625" style="1634" customWidth="1"/>
    <col min="13826" max="13826" width="7.1640625" style="1634" customWidth="1"/>
    <col min="13827" max="13827" width="13.33203125" style="1634" customWidth="1"/>
    <col min="13828" max="13828" width="5.1640625" style="1634" customWidth="1"/>
    <col min="13829" max="13829" width="61.6640625" style="1634" customWidth="1"/>
    <col min="13830" max="13830" width="9" style="1634" customWidth="1"/>
    <col min="13831" max="13831" width="11.33203125" style="1634" customWidth="1"/>
    <col min="13832" max="13832" width="12.83203125" style="1634" customWidth="1"/>
    <col min="13833" max="13834" width="15.83203125" style="1634" customWidth="1"/>
    <col min="13835" max="13835" width="29" style="1634" customWidth="1"/>
    <col min="13836" max="13836" width="10.1640625" style="1634" customWidth="1"/>
    <col min="13837" max="13837" width="85.1640625" style="1634" customWidth="1"/>
    <col min="13838" max="13838" width="29.83203125" style="1634" customWidth="1"/>
    <col min="13839" max="13839" width="12.1640625" style="1634" customWidth="1"/>
    <col min="13840" max="13840" width="18.1640625" style="1634" customWidth="1"/>
    <col min="13841" max="13841" width="16.33203125" style="1634" customWidth="1"/>
    <col min="13842" max="13842" width="7.1640625" style="1634" customWidth="1"/>
    <col min="13843" max="13844" width="9" style="1634" customWidth="1"/>
    <col min="13845" max="14080" width="8.83203125" style="1634" customWidth="1"/>
    <col min="14081" max="14081" width="61.6640625" style="1634" customWidth="1"/>
    <col min="14082" max="14082" width="7.1640625" style="1634" customWidth="1"/>
    <col min="14083" max="14083" width="13.33203125" style="1634" customWidth="1"/>
    <col min="14084" max="14084" width="5.1640625" style="1634" customWidth="1"/>
    <col min="14085" max="14085" width="61.6640625" style="1634" customWidth="1"/>
    <col min="14086" max="14086" width="9" style="1634" customWidth="1"/>
    <col min="14087" max="14087" width="11.33203125" style="1634" customWidth="1"/>
    <col min="14088" max="14088" width="12.83203125" style="1634" customWidth="1"/>
    <col min="14089" max="14090" width="15.83203125" style="1634" customWidth="1"/>
    <col min="14091" max="14091" width="29" style="1634" customWidth="1"/>
    <col min="14092" max="14092" width="10.1640625" style="1634" customWidth="1"/>
    <col min="14093" max="14093" width="85.1640625" style="1634" customWidth="1"/>
    <col min="14094" max="14094" width="29.83203125" style="1634" customWidth="1"/>
    <col min="14095" max="14095" width="12.1640625" style="1634" customWidth="1"/>
    <col min="14096" max="14096" width="18.1640625" style="1634" customWidth="1"/>
    <col min="14097" max="14097" width="16.33203125" style="1634" customWidth="1"/>
    <col min="14098" max="14098" width="7.1640625" style="1634" customWidth="1"/>
    <col min="14099" max="14100" width="9" style="1634" customWidth="1"/>
    <col min="14101" max="14336" width="8.83203125" style="1634" customWidth="1"/>
    <col min="14337" max="14337" width="61.6640625" style="1634" customWidth="1"/>
    <col min="14338" max="14338" width="7.1640625" style="1634" customWidth="1"/>
    <col min="14339" max="14339" width="13.33203125" style="1634" customWidth="1"/>
    <col min="14340" max="14340" width="5.1640625" style="1634" customWidth="1"/>
    <col min="14341" max="14341" width="61.6640625" style="1634" customWidth="1"/>
    <col min="14342" max="14342" width="9" style="1634" customWidth="1"/>
    <col min="14343" max="14343" width="11.33203125" style="1634" customWidth="1"/>
    <col min="14344" max="14344" width="12.83203125" style="1634" customWidth="1"/>
    <col min="14345" max="14346" width="15.83203125" style="1634" customWidth="1"/>
    <col min="14347" max="14347" width="29" style="1634" customWidth="1"/>
    <col min="14348" max="14348" width="10.1640625" style="1634" customWidth="1"/>
    <col min="14349" max="14349" width="85.1640625" style="1634" customWidth="1"/>
    <col min="14350" max="14350" width="29.83203125" style="1634" customWidth="1"/>
    <col min="14351" max="14351" width="12.1640625" style="1634" customWidth="1"/>
    <col min="14352" max="14352" width="18.1640625" style="1634" customWidth="1"/>
    <col min="14353" max="14353" width="16.33203125" style="1634" customWidth="1"/>
    <col min="14354" max="14354" width="7.1640625" style="1634" customWidth="1"/>
    <col min="14355" max="14356" width="9" style="1634" customWidth="1"/>
    <col min="14357" max="14592" width="8.83203125" style="1634" customWidth="1"/>
    <col min="14593" max="14593" width="61.6640625" style="1634" customWidth="1"/>
    <col min="14594" max="14594" width="7.1640625" style="1634" customWidth="1"/>
    <col min="14595" max="14595" width="13.33203125" style="1634" customWidth="1"/>
    <col min="14596" max="14596" width="5.1640625" style="1634" customWidth="1"/>
    <col min="14597" max="14597" width="61.6640625" style="1634" customWidth="1"/>
    <col min="14598" max="14598" width="9" style="1634" customWidth="1"/>
    <col min="14599" max="14599" width="11.33203125" style="1634" customWidth="1"/>
    <col min="14600" max="14600" width="12.83203125" style="1634" customWidth="1"/>
    <col min="14601" max="14602" width="15.83203125" style="1634" customWidth="1"/>
    <col min="14603" max="14603" width="29" style="1634" customWidth="1"/>
    <col min="14604" max="14604" width="10.1640625" style="1634" customWidth="1"/>
    <col min="14605" max="14605" width="85.1640625" style="1634" customWidth="1"/>
    <col min="14606" max="14606" width="29.83203125" style="1634" customWidth="1"/>
    <col min="14607" max="14607" width="12.1640625" style="1634" customWidth="1"/>
    <col min="14608" max="14608" width="18.1640625" style="1634" customWidth="1"/>
    <col min="14609" max="14609" width="16.33203125" style="1634" customWidth="1"/>
    <col min="14610" max="14610" width="7.1640625" style="1634" customWidth="1"/>
    <col min="14611" max="14612" width="9" style="1634" customWidth="1"/>
    <col min="14613" max="14848" width="8.83203125" style="1634" customWidth="1"/>
    <col min="14849" max="14849" width="61.6640625" style="1634" customWidth="1"/>
    <col min="14850" max="14850" width="7.1640625" style="1634" customWidth="1"/>
    <col min="14851" max="14851" width="13.33203125" style="1634" customWidth="1"/>
    <col min="14852" max="14852" width="5.1640625" style="1634" customWidth="1"/>
    <col min="14853" max="14853" width="61.6640625" style="1634" customWidth="1"/>
    <col min="14854" max="14854" width="9" style="1634" customWidth="1"/>
    <col min="14855" max="14855" width="11.33203125" style="1634" customWidth="1"/>
    <col min="14856" max="14856" width="12.83203125" style="1634" customWidth="1"/>
    <col min="14857" max="14858" width="15.83203125" style="1634" customWidth="1"/>
    <col min="14859" max="14859" width="29" style="1634" customWidth="1"/>
    <col min="14860" max="14860" width="10.1640625" style="1634" customWidth="1"/>
    <col min="14861" max="14861" width="85.1640625" style="1634" customWidth="1"/>
    <col min="14862" max="14862" width="29.83203125" style="1634" customWidth="1"/>
    <col min="14863" max="14863" width="12.1640625" style="1634" customWidth="1"/>
    <col min="14864" max="14864" width="18.1640625" style="1634" customWidth="1"/>
    <col min="14865" max="14865" width="16.33203125" style="1634" customWidth="1"/>
    <col min="14866" max="14866" width="7.1640625" style="1634" customWidth="1"/>
    <col min="14867" max="14868" width="9" style="1634" customWidth="1"/>
    <col min="14869" max="15104" width="8.83203125" style="1634" customWidth="1"/>
    <col min="15105" max="15105" width="61.6640625" style="1634" customWidth="1"/>
    <col min="15106" max="15106" width="7.1640625" style="1634" customWidth="1"/>
    <col min="15107" max="15107" width="13.33203125" style="1634" customWidth="1"/>
    <col min="15108" max="15108" width="5.1640625" style="1634" customWidth="1"/>
    <col min="15109" max="15109" width="61.6640625" style="1634" customWidth="1"/>
    <col min="15110" max="15110" width="9" style="1634" customWidth="1"/>
    <col min="15111" max="15111" width="11.33203125" style="1634" customWidth="1"/>
    <col min="15112" max="15112" width="12.83203125" style="1634" customWidth="1"/>
    <col min="15113" max="15114" width="15.83203125" style="1634" customWidth="1"/>
    <col min="15115" max="15115" width="29" style="1634" customWidth="1"/>
    <col min="15116" max="15116" width="10.1640625" style="1634" customWidth="1"/>
    <col min="15117" max="15117" width="85.1640625" style="1634" customWidth="1"/>
    <col min="15118" max="15118" width="29.83203125" style="1634" customWidth="1"/>
    <col min="15119" max="15119" width="12.1640625" style="1634" customWidth="1"/>
    <col min="15120" max="15120" width="18.1640625" style="1634" customWidth="1"/>
    <col min="15121" max="15121" width="16.33203125" style="1634" customWidth="1"/>
    <col min="15122" max="15122" width="7.1640625" style="1634" customWidth="1"/>
    <col min="15123" max="15124" width="9" style="1634" customWidth="1"/>
    <col min="15125" max="15360" width="8.83203125" style="1634" customWidth="1"/>
    <col min="15361" max="15361" width="61.6640625" style="1634" customWidth="1"/>
    <col min="15362" max="15362" width="7.1640625" style="1634" customWidth="1"/>
    <col min="15363" max="15363" width="13.33203125" style="1634" customWidth="1"/>
    <col min="15364" max="15364" width="5.1640625" style="1634" customWidth="1"/>
    <col min="15365" max="15365" width="61.6640625" style="1634" customWidth="1"/>
    <col min="15366" max="15366" width="9" style="1634" customWidth="1"/>
    <col min="15367" max="15367" width="11.33203125" style="1634" customWidth="1"/>
    <col min="15368" max="15368" width="12.83203125" style="1634" customWidth="1"/>
    <col min="15369" max="15370" width="15.83203125" style="1634" customWidth="1"/>
    <col min="15371" max="15371" width="29" style="1634" customWidth="1"/>
    <col min="15372" max="15372" width="10.1640625" style="1634" customWidth="1"/>
    <col min="15373" max="15373" width="85.1640625" style="1634" customWidth="1"/>
    <col min="15374" max="15374" width="29.83203125" style="1634" customWidth="1"/>
    <col min="15375" max="15375" width="12.1640625" style="1634" customWidth="1"/>
    <col min="15376" max="15376" width="18.1640625" style="1634" customWidth="1"/>
    <col min="15377" max="15377" width="16.33203125" style="1634" customWidth="1"/>
    <col min="15378" max="15378" width="7.1640625" style="1634" customWidth="1"/>
    <col min="15379" max="15380" width="9" style="1634" customWidth="1"/>
    <col min="15381" max="15616" width="8.83203125" style="1634" customWidth="1"/>
    <col min="15617" max="15617" width="61.6640625" style="1634" customWidth="1"/>
    <col min="15618" max="15618" width="7.1640625" style="1634" customWidth="1"/>
    <col min="15619" max="15619" width="13.33203125" style="1634" customWidth="1"/>
    <col min="15620" max="15620" width="5.1640625" style="1634" customWidth="1"/>
    <col min="15621" max="15621" width="61.6640625" style="1634" customWidth="1"/>
    <col min="15622" max="15622" width="9" style="1634" customWidth="1"/>
    <col min="15623" max="15623" width="11.33203125" style="1634" customWidth="1"/>
    <col min="15624" max="15624" width="12.83203125" style="1634" customWidth="1"/>
    <col min="15625" max="15626" width="15.83203125" style="1634" customWidth="1"/>
    <col min="15627" max="15627" width="29" style="1634" customWidth="1"/>
    <col min="15628" max="15628" width="10.1640625" style="1634" customWidth="1"/>
    <col min="15629" max="15629" width="85.1640625" style="1634" customWidth="1"/>
    <col min="15630" max="15630" width="29.83203125" style="1634" customWidth="1"/>
    <col min="15631" max="15631" width="12.1640625" style="1634" customWidth="1"/>
    <col min="15632" max="15632" width="18.1640625" style="1634" customWidth="1"/>
    <col min="15633" max="15633" width="16.33203125" style="1634" customWidth="1"/>
    <col min="15634" max="15634" width="7.1640625" style="1634" customWidth="1"/>
    <col min="15635" max="15636" width="9" style="1634" customWidth="1"/>
    <col min="15637" max="15872" width="8.83203125" style="1634" customWidth="1"/>
    <col min="15873" max="15873" width="61.6640625" style="1634" customWidth="1"/>
    <col min="15874" max="15874" width="7.1640625" style="1634" customWidth="1"/>
    <col min="15875" max="15875" width="13.33203125" style="1634" customWidth="1"/>
    <col min="15876" max="15876" width="5.1640625" style="1634" customWidth="1"/>
    <col min="15877" max="15877" width="61.6640625" style="1634" customWidth="1"/>
    <col min="15878" max="15878" width="9" style="1634" customWidth="1"/>
    <col min="15879" max="15879" width="11.33203125" style="1634" customWidth="1"/>
    <col min="15880" max="15880" width="12.83203125" style="1634" customWidth="1"/>
    <col min="15881" max="15882" width="15.83203125" style="1634" customWidth="1"/>
    <col min="15883" max="15883" width="29" style="1634" customWidth="1"/>
    <col min="15884" max="15884" width="10.1640625" style="1634" customWidth="1"/>
    <col min="15885" max="15885" width="85.1640625" style="1634" customWidth="1"/>
    <col min="15886" max="15886" width="29.83203125" style="1634" customWidth="1"/>
    <col min="15887" max="15887" width="12.1640625" style="1634" customWidth="1"/>
    <col min="15888" max="15888" width="18.1640625" style="1634" customWidth="1"/>
    <col min="15889" max="15889" width="16.33203125" style="1634" customWidth="1"/>
    <col min="15890" max="15890" width="7.1640625" style="1634" customWidth="1"/>
    <col min="15891" max="15892" width="9" style="1634" customWidth="1"/>
    <col min="15893" max="16128" width="8.83203125" style="1634" customWidth="1"/>
    <col min="16129" max="16129" width="61.6640625" style="1634" customWidth="1"/>
    <col min="16130" max="16130" width="7.1640625" style="1634" customWidth="1"/>
    <col min="16131" max="16131" width="13.33203125" style="1634" customWidth="1"/>
    <col min="16132" max="16132" width="5.1640625" style="1634" customWidth="1"/>
    <col min="16133" max="16133" width="61.6640625" style="1634" customWidth="1"/>
    <col min="16134" max="16134" width="9" style="1634" customWidth="1"/>
    <col min="16135" max="16135" width="11.33203125" style="1634" customWidth="1"/>
    <col min="16136" max="16136" width="12.83203125" style="1634" customWidth="1"/>
    <col min="16137" max="16138" width="15.83203125" style="1634" customWidth="1"/>
    <col min="16139" max="16139" width="29" style="1634" customWidth="1"/>
    <col min="16140" max="16140" width="10.1640625" style="1634" customWidth="1"/>
    <col min="16141" max="16141" width="85.1640625" style="1634" customWidth="1"/>
    <col min="16142" max="16142" width="29.83203125" style="1634" customWidth="1"/>
    <col min="16143" max="16143" width="12.1640625" style="1634" customWidth="1"/>
    <col min="16144" max="16144" width="18.1640625" style="1634" customWidth="1"/>
    <col min="16145" max="16145" width="16.33203125" style="1634" customWidth="1"/>
    <col min="16146" max="16146" width="7.1640625" style="1634" customWidth="1"/>
    <col min="16147" max="16148" width="9" style="1634" customWidth="1"/>
    <col min="16149" max="16384" width="8.83203125" style="1634" customWidth="1"/>
  </cols>
  <sheetData>
    <row r="1" spans="1:33" ht="23">
      <c r="A1" s="1634" t="s">
        <v>3179</v>
      </c>
      <c r="B1" s="1634" t="s">
        <v>3180</v>
      </c>
      <c r="C1" s="1634" t="s">
        <v>3181</v>
      </c>
      <c r="D1" s="1634" t="s">
        <v>3182</v>
      </c>
      <c r="E1" s="1634" t="s">
        <v>3183</v>
      </c>
      <c r="F1" s="1634" t="s">
        <v>3184</v>
      </c>
      <c r="G1" s="1634" t="s">
        <v>3185</v>
      </c>
      <c r="H1" s="1634" t="s">
        <v>3186</v>
      </c>
      <c r="I1" s="1634" t="s">
        <v>3187</v>
      </c>
      <c r="J1" s="1634" t="s">
        <v>3188</v>
      </c>
      <c r="K1" s="1634" t="s">
        <v>3133</v>
      </c>
      <c r="L1" s="1634" t="s">
        <v>3189</v>
      </c>
      <c r="M1" s="1634" t="s">
        <v>3190</v>
      </c>
      <c r="N1" s="1634" t="s">
        <v>3191</v>
      </c>
      <c r="O1" s="1634" t="s">
        <v>3192</v>
      </c>
      <c r="P1" s="1634" t="s">
        <v>3193</v>
      </c>
      <c r="Q1" s="1634" t="s">
        <v>3194</v>
      </c>
      <c r="R1" s="1634" t="s">
        <v>3195</v>
      </c>
      <c r="S1" s="1634" t="s">
        <v>3196</v>
      </c>
      <c r="T1" s="1634" t="s">
        <v>3197</v>
      </c>
      <c r="V1" s="2988" t="s">
        <v>3401</v>
      </c>
      <c r="AB1" s="3090" t="s">
        <v>4161</v>
      </c>
      <c r="AC1" s="3091"/>
      <c r="AD1" s="3091"/>
      <c r="AE1" s="3091"/>
      <c r="AF1" s="3091"/>
      <c r="AG1" s="3092"/>
    </row>
    <row r="2" spans="1:33" ht="17">
      <c r="A2" s="1634" t="s">
        <v>4098</v>
      </c>
      <c r="B2" s="1634" t="s">
        <v>3199</v>
      </c>
      <c r="C2" s="1634" t="s">
        <v>4099</v>
      </c>
      <c r="D2" s="1634" t="s">
        <v>1326</v>
      </c>
      <c r="E2" s="1634" t="s">
        <v>4098</v>
      </c>
      <c r="F2" s="1634" t="s">
        <v>3219</v>
      </c>
      <c r="G2" s="1634" t="s">
        <v>4100</v>
      </c>
      <c r="H2" s="1634" t="s">
        <v>4101</v>
      </c>
      <c r="I2" s="1634">
        <v>10000</v>
      </c>
      <c r="J2" s="1634">
        <v>16000</v>
      </c>
      <c r="K2" s="1634" t="s">
        <v>4102</v>
      </c>
      <c r="L2" s="1634" t="s">
        <v>4103</v>
      </c>
      <c r="M2" s="1634" t="s">
        <v>4104</v>
      </c>
      <c r="N2" s="1634" t="s">
        <v>4105</v>
      </c>
      <c r="O2" s="1634">
        <v>570</v>
      </c>
      <c r="P2" s="1634">
        <v>38</v>
      </c>
      <c r="Q2" s="1634">
        <v>356.25</v>
      </c>
      <c r="R2" s="1634">
        <v>0</v>
      </c>
      <c r="S2" s="1634" t="s">
        <v>3331</v>
      </c>
      <c r="T2" s="1634" t="s">
        <v>3243</v>
      </c>
      <c r="V2" s="1634">
        <f>ROUNDDOWN(O2/I2*10000,0)</f>
        <v>570</v>
      </c>
      <c r="AB2" s="3093" t="s">
        <v>3133</v>
      </c>
      <c r="AC2" s="3094" t="s">
        <v>4162</v>
      </c>
      <c r="AD2" s="3094" t="s">
        <v>3133</v>
      </c>
      <c r="AE2" s="3094" t="s">
        <v>4162</v>
      </c>
      <c r="AF2" s="3094" t="s">
        <v>3133</v>
      </c>
      <c r="AG2" s="3095" t="s">
        <v>4162</v>
      </c>
    </row>
    <row r="3" spans="1:33" s="2986" customFormat="1" ht="17">
      <c r="A3" s="2986" t="s">
        <v>4106</v>
      </c>
      <c r="B3" s="2986" t="s">
        <v>3199</v>
      </c>
      <c r="C3" s="2986" t="s">
        <v>4099</v>
      </c>
      <c r="D3" s="2986" t="s">
        <v>1326</v>
      </c>
      <c r="E3" s="2986" t="s">
        <v>4106</v>
      </c>
      <c r="F3" s="2986" t="s">
        <v>3200</v>
      </c>
      <c r="G3" s="2986" t="s">
        <v>4107</v>
      </c>
      <c r="H3" s="2986" t="s">
        <v>4101</v>
      </c>
      <c r="I3" s="2986">
        <v>18573</v>
      </c>
      <c r="J3" s="2986">
        <v>33431.4</v>
      </c>
      <c r="K3" s="2986" t="s">
        <v>4108</v>
      </c>
      <c r="L3" s="2986" t="s">
        <v>4109</v>
      </c>
      <c r="M3" s="2986" t="s">
        <v>4110</v>
      </c>
      <c r="N3" s="2986" t="s">
        <v>3362</v>
      </c>
      <c r="O3" s="2986">
        <v>5850.5</v>
      </c>
      <c r="P3" s="2986">
        <v>210</v>
      </c>
      <c r="Q3" s="2986">
        <v>1750</v>
      </c>
      <c r="R3" s="2986">
        <v>0</v>
      </c>
      <c r="S3" s="2986" t="s">
        <v>3331</v>
      </c>
      <c r="T3" s="2986" t="s">
        <v>3243</v>
      </c>
      <c r="V3" s="2986">
        <f t="shared" ref="V3:V22" si="0">ROUNDDOWN(O3/I3*10000,0)</f>
        <v>3150</v>
      </c>
      <c r="AB3" s="3093">
        <v>1</v>
      </c>
      <c r="AC3" s="3094">
        <v>0.52</v>
      </c>
      <c r="AD3" s="3094">
        <v>4</v>
      </c>
      <c r="AE3" s="3094">
        <v>1.23</v>
      </c>
      <c r="AF3" s="3094">
        <v>7</v>
      </c>
      <c r="AG3" s="3095">
        <v>1.82</v>
      </c>
    </row>
    <row r="4" spans="1:33" ht="17">
      <c r="A4" s="1634" t="s">
        <v>4111</v>
      </c>
      <c r="B4" s="1634" t="s">
        <v>3199</v>
      </c>
      <c r="C4" s="1634" t="s">
        <v>4099</v>
      </c>
      <c r="D4" s="1634" t="s">
        <v>1326</v>
      </c>
      <c r="E4" s="1634" t="s">
        <v>4111</v>
      </c>
      <c r="F4" s="1634" t="s">
        <v>3200</v>
      </c>
      <c r="G4" s="1634" t="s">
        <v>4112</v>
      </c>
      <c r="H4" s="1634" t="s">
        <v>4101</v>
      </c>
      <c r="I4" s="1634">
        <v>14954.75</v>
      </c>
      <c r="J4" s="1634">
        <v>52341.62</v>
      </c>
      <c r="K4" s="1634" t="s">
        <v>4113</v>
      </c>
      <c r="L4" s="1634" t="s">
        <v>3240</v>
      </c>
      <c r="M4" s="1634" t="s">
        <v>3241</v>
      </c>
      <c r="N4" s="1634" t="s">
        <v>3242</v>
      </c>
      <c r="O4" s="1634">
        <v>7313</v>
      </c>
      <c r="P4" s="1634">
        <v>326.01</v>
      </c>
      <c r="Q4" s="1634">
        <v>1397.17</v>
      </c>
      <c r="R4" s="1634">
        <v>0.01</v>
      </c>
      <c r="S4" s="1634" t="s">
        <v>3331</v>
      </c>
      <c r="T4" s="1634" t="s">
        <v>3243</v>
      </c>
      <c r="V4" s="1634">
        <f t="shared" si="0"/>
        <v>4890</v>
      </c>
      <c r="AB4" s="3093">
        <v>1.1000000000000001</v>
      </c>
      <c r="AC4" s="3094">
        <v>0.54400000000000004</v>
      </c>
      <c r="AD4" s="3094">
        <v>4.0999999999999996</v>
      </c>
      <c r="AE4" s="3094">
        <v>1.2529999999999999</v>
      </c>
      <c r="AF4" s="3094">
        <v>7.1</v>
      </c>
      <c r="AG4" s="3095">
        <v>1.82</v>
      </c>
    </row>
    <row r="5" spans="1:33" ht="17">
      <c r="A5" s="1634" t="s">
        <v>4114</v>
      </c>
      <c r="B5" s="1634" t="s">
        <v>3199</v>
      </c>
      <c r="C5" s="1634" t="s">
        <v>4099</v>
      </c>
      <c r="D5" s="1634" t="s">
        <v>1326</v>
      </c>
      <c r="E5" s="1634" t="s">
        <v>4114</v>
      </c>
      <c r="F5" s="1634" t="s">
        <v>3200</v>
      </c>
      <c r="G5" s="1634" t="s">
        <v>4115</v>
      </c>
      <c r="H5" s="1634" t="s">
        <v>4101</v>
      </c>
      <c r="I5" s="1634">
        <v>14643.73</v>
      </c>
      <c r="J5" s="1634">
        <v>36609.33</v>
      </c>
      <c r="K5" s="1634" t="s">
        <v>4116</v>
      </c>
      <c r="L5" s="1634" t="s">
        <v>3240</v>
      </c>
      <c r="M5" s="1634" t="s">
        <v>3247</v>
      </c>
      <c r="N5" s="1634" t="s">
        <v>3242</v>
      </c>
      <c r="O5" s="1634">
        <v>5403</v>
      </c>
      <c r="P5" s="1634">
        <v>245.98</v>
      </c>
      <c r="Q5" s="1634">
        <v>1475.84</v>
      </c>
      <c r="R5" s="1634">
        <v>0</v>
      </c>
      <c r="S5" s="1634" t="s">
        <v>3331</v>
      </c>
      <c r="T5" s="1634" t="s">
        <v>3243</v>
      </c>
      <c r="V5" s="1634">
        <f t="shared" si="0"/>
        <v>3689</v>
      </c>
      <c r="AB5" s="3093">
        <v>1.2</v>
      </c>
      <c r="AC5" s="3094">
        <v>0.56799999999999995</v>
      </c>
      <c r="AD5" s="3094">
        <v>4.2</v>
      </c>
      <c r="AE5" s="3094">
        <v>1.276</v>
      </c>
      <c r="AF5" s="3094">
        <v>7.2</v>
      </c>
      <c r="AG5" s="3095">
        <v>1.84</v>
      </c>
    </row>
    <row r="6" spans="1:33" ht="17">
      <c r="A6" s="1634" t="s">
        <v>4117</v>
      </c>
      <c r="B6" s="1634" t="s">
        <v>3199</v>
      </c>
      <c r="C6" s="1634" t="s">
        <v>4099</v>
      </c>
      <c r="D6" s="1634" t="s">
        <v>1326</v>
      </c>
      <c r="E6" s="1634" t="s">
        <v>4117</v>
      </c>
      <c r="F6" s="1634" t="s">
        <v>3200</v>
      </c>
      <c r="G6" s="1634" t="s">
        <v>4118</v>
      </c>
      <c r="H6" s="1634" t="s">
        <v>4101</v>
      </c>
      <c r="I6" s="1634">
        <v>62320.12</v>
      </c>
      <c r="J6" s="1634">
        <v>199424.37</v>
      </c>
      <c r="K6" s="1634" t="s">
        <v>4119</v>
      </c>
      <c r="L6" s="1634" t="s">
        <v>3240</v>
      </c>
      <c r="M6" s="1634" t="s">
        <v>3241</v>
      </c>
      <c r="N6" s="1634" t="s">
        <v>3242</v>
      </c>
      <c r="O6" s="1634">
        <v>24397.11</v>
      </c>
      <c r="P6" s="1634">
        <v>260.99</v>
      </c>
      <c r="Q6" s="1634">
        <v>1223.3800000000001</v>
      </c>
      <c r="R6" s="1634">
        <v>0</v>
      </c>
      <c r="S6" s="1634" t="s">
        <v>3331</v>
      </c>
      <c r="T6" s="1634" t="s">
        <v>3243</v>
      </c>
      <c r="V6" s="1634">
        <f t="shared" si="0"/>
        <v>3914</v>
      </c>
      <c r="AB6" s="3093">
        <v>1.3</v>
      </c>
      <c r="AC6" s="3094">
        <v>0.59199999999999997</v>
      </c>
      <c r="AD6" s="3094">
        <v>4.3</v>
      </c>
      <c r="AE6" s="3094">
        <v>1.2989999999999999</v>
      </c>
      <c r="AF6" s="3094">
        <v>7.3</v>
      </c>
      <c r="AG6" s="3095">
        <v>1.86</v>
      </c>
    </row>
    <row r="7" spans="1:33" ht="17">
      <c r="A7" s="1634" t="s">
        <v>4120</v>
      </c>
      <c r="B7" s="1634" t="s">
        <v>3199</v>
      </c>
      <c r="C7" s="1634" t="s">
        <v>4099</v>
      </c>
      <c r="D7" s="1634" t="s">
        <v>1326</v>
      </c>
      <c r="E7" s="1634" t="s">
        <v>4120</v>
      </c>
      <c r="F7" s="1634" t="s">
        <v>3219</v>
      </c>
      <c r="G7" s="1634" t="s">
        <v>4121</v>
      </c>
      <c r="H7" s="1634" t="s">
        <v>4101</v>
      </c>
      <c r="I7" s="1634">
        <v>27406</v>
      </c>
      <c r="J7" s="1634">
        <v>43849.599999999999</v>
      </c>
      <c r="K7" s="1634" t="s">
        <v>4102</v>
      </c>
      <c r="L7" s="1634" t="s">
        <v>4122</v>
      </c>
      <c r="M7" s="1634" t="s">
        <v>4123</v>
      </c>
      <c r="N7" s="1634" t="s">
        <v>4124</v>
      </c>
      <c r="O7" s="1634">
        <v>1644.35</v>
      </c>
      <c r="P7" s="1634">
        <v>40</v>
      </c>
      <c r="Q7" s="1634">
        <v>375</v>
      </c>
      <c r="R7" s="1634">
        <v>0</v>
      </c>
      <c r="S7" s="1634" t="s">
        <v>3331</v>
      </c>
      <c r="T7" s="1634" t="s">
        <v>4125</v>
      </c>
      <c r="V7" s="1634">
        <f t="shared" si="0"/>
        <v>599</v>
      </c>
      <c r="AB7" s="3093">
        <v>1.4</v>
      </c>
      <c r="AC7" s="3094">
        <v>0.61599999999999999</v>
      </c>
      <c r="AD7" s="3094">
        <v>4.4000000000000004</v>
      </c>
      <c r="AE7" s="3094">
        <v>1.3220000000000001</v>
      </c>
      <c r="AF7" s="3094">
        <v>7.4</v>
      </c>
      <c r="AG7" s="3095">
        <v>1.88</v>
      </c>
    </row>
    <row r="8" spans="1:33" ht="17">
      <c r="A8" s="1634" t="s">
        <v>4120</v>
      </c>
      <c r="B8" s="1634" t="s">
        <v>3199</v>
      </c>
      <c r="C8" s="1634" t="s">
        <v>4099</v>
      </c>
      <c r="D8" s="1634" t="s">
        <v>1326</v>
      </c>
      <c r="E8" s="1634" t="s">
        <v>4120</v>
      </c>
      <c r="F8" s="1634" t="s">
        <v>3219</v>
      </c>
      <c r="G8" s="1634" t="s">
        <v>4126</v>
      </c>
      <c r="H8" s="1634" t="s">
        <v>4101</v>
      </c>
      <c r="I8" s="1634">
        <v>17078</v>
      </c>
      <c r="J8" s="1634">
        <v>27324.799999999999</v>
      </c>
      <c r="K8" s="1634" t="s">
        <v>4102</v>
      </c>
      <c r="L8" s="1634" t="s">
        <v>4122</v>
      </c>
      <c r="M8" s="1634" t="s">
        <v>4123</v>
      </c>
      <c r="N8" s="1634" t="s">
        <v>4124</v>
      </c>
      <c r="O8" s="1634">
        <v>1024.68</v>
      </c>
      <c r="P8" s="1634">
        <v>40</v>
      </c>
      <c r="Q8" s="1634">
        <v>375</v>
      </c>
      <c r="R8" s="1634">
        <v>0</v>
      </c>
      <c r="S8" s="1634" t="s">
        <v>3331</v>
      </c>
      <c r="T8" s="1634" t="s">
        <v>4125</v>
      </c>
      <c r="V8" s="1634">
        <f t="shared" si="0"/>
        <v>600</v>
      </c>
      <c r="AB8" s="3093">
        <v>1.5</v>
      </c>
      <c r="AC8" s="3094">
        <v>0.64</v>
      </c>
      <c r="AD8" s="3094">
        <v>4.5</v>
      </c>
      <c r="AE8" s="3094">
        <v>1.345</v>
      </c>
      <c r="AF8" s="3094">
        <v>7.5</v>
      </c>
      <c r="AG8" s="3095">
        <v>1.9</v>
      </c>
    </row>
    <row r="9" spans="1:33" ht="17">
      <c r="A9" s="1634" t="s">
        <v>4120</v>
      </c>
      <c r="B9" s="1634" t="s">
        <v>3199</v>
      </c>
      <c r="C9" s="1634" t="s">
        <v>4099</v>
      </c>
      <c r="D9" s="1634" t="s">
        <v>1326</v>
      </c>
      <c r="E9" s="1634" t="s">
        <v>4120</v>
      </c>
      <c r="F9" s="1634" t="s">
        <v>3219</v>
      </c>
      <c r="G9" s="1634" t="s">
        <v>4127</v>
      </c>
      <c r="H9" s="1634" t="s">
        <v>4101</v>
      </c>
      <c r="I9" s="1634">
        <v>13401</v>
      </c>
      <c r="J9" s="1634">
        <v>21441.599999999999</v>
      </c>
      <c r="K9" s="1634" t="s">
        <v>4102</v>
      </c>
      <c r="L9" s="1634" t="s">
        <v>4122</v>
      </c>
      <c r="M9" s="1634" t="s">
        <v>4123</v>
      </c>
      <c r="N9" s="1634" t="s">
        <v>4124</v>
      </c>
      <c r="O9" s="1634">
        <v>904.57</v>
      </c>
      <c r="P9" s="1634">
        <v>45</v>
      </c>
      <c r="Q9" s="1634">
        <v>421.87</v>
      </c>
      <c r="R9" s="1634">
        <v>0</v>
      </c>
      <c r="S9" s="1634" t="s">
        <v>3331</v>
      </c>
      <c r="T9" s="1634" t="s">
        <v>4125</v>
      </c>
      <c r="V9" s="1634">
        <f t="shared" si="0"/>
        <v>675</v>
      </c>
      <c r="AB9" s="3093">
        <v>1.6</v>
      </c>
      <c r="AC9" s="3094">
        <v>0.66400000000000003</v>
      </c>
      <c r="AD9" s="3094">
        <v>4.5999999999999996</v>
      </c>
      <c r="AE9" s="3094">
        <v>1.3680000000000001</v>
      </c>
      <c r="AF9" s="3094">
        <v>7.6</v>
      </c>
      <c r="AG9" s="3095">
        <v>1.92</v>
      </c>
    </row>
    <row r="10" spans="1:33" ht="17">
      <c r="A10" s="1634" t="s">
        <v>4128</v>
      </c>
      <c r="B10" s="1634" t="s">
        <v>3199</v>
      </c>
      <c r="C10" s="1634" t="s">
        <v>4099</v>
      </c>
      <c r="D10" s="1634" t="s">
        <v>1326</v>
      </c>
      <c r="E10" s="1634" t="s">
        <v>4128</v>
      </c>
      <c r="F10" s="1634" t="s">
        <v>3219</v>
      </c>
      <c r="G10" s="1634" t="s">
        <v>4129</v>
      </c>
      <c r="H10" s="1634" t="s">
        <v>4101</v>
      </c>
      <c r="I10" s="1634">
        <v>14228</v>
      </c>
      <c r="J10" s="1634">
        <v>68294.399999999994</v>
      </c>
      <c r="K10" s="1634" t="s">
        <v>4130</v>
      </c>
      <c r="L10" s="1634" t="s">
        <v>4122</v>
      </c>
      <c r="M10" s="1634" t="s">
        <v>4123</v>
      </c>
      <c r="N10" s="1634" t="s">
        <v>4131</v>
      </c>
      <c r="O10" s="1634">
        <v>5548.92</v>
      </c>
      <c r="P10" s="1634">
        <v>260</v>
      </c>
      <c r="Q10" s="1634">
        <v>812.5</v>
      </c>
      <c r="R10" s="1634">
        <v>0</v>
      </c>
      <c r="S10" s="1634" t="s">
        <v>3331</v>
      </c>
      <c r="T10" s="1634" t="s">
        <v>3207</v>
      </c>
      <c r="V10" s="1634">
        <f t="shared" si="0"/>
        <v>3900</v>
      </c>
      <c r="AB10" s="3093">
        <v>1.7</v>
      </c>
      <c r="AC10" s="3094">
        <v>0.68799999999999994</v>
      </c>
      <c r="AD10" s="3094">
        <v>4.7</v>
      </c>
      <c r="AE10" s="3094">
        <v>1.391</v>
      </c>
      <c r="AF10" s="3094">
        <v>7.7</v>
      </c>
      <c r="AG10" s="3095">
        <v>1.94</v>
      </c>
    </row>
    <row r="11" spans="1:33" ht="17">
      <c r="A11" s="1634" t="s">
        <v>4120</v>
      </c>
      <c r="B11" s="1634" t="s">
        <v>3199</v>
      </c>
      <c r="C11" s="1634" t="s">
        <v>4099</v>
      </c>
      <c r="D11" s="1634" t="s">
        <v>1326</v>
      </c>
      <c r="E11" s="1634" t="s">
        <v>4120</v>
      </c>
      <c r="F11" s="1634" t="s">
        <v>3219</v>
      </c>
      <c r="G11" s="1634" t="s">
        <v>4132</v>
      </c>
      <c r="H11" s="1634" t="s">
        <v>4101</v>
      </c>
      <c r="I11" s="1634">
        <v>28088</v>
      </c>
      <c r="J11" s="1634">
        <v>44940.800000000003</v>
      </c>
      <c r="K11" s="1634" t="s">
        <v>4102</v>
      </c>
      <c r="L11" s="1634" t="s">
        <v>4122</v>
      </c>
      <c r="M11" s="1634" t="s">
        <v>4123</v>
      </c>
      <c r="N11" s="1634" t="s">
        <v>4124</v>
      </c>
      <c r="O11" s="1634">
        <v>1685.27</v>
      </c>
      <c r="P11" s="1634">
        <v>40</v>
      </c>
      <c r="Q11" s="1634">
        <v>375</v>
      </c>
      <c r="R11" s="1634">
        <v>0</v>
      </c>
      <c r="S11" s="1634" t="s">
        <v>3331</v>
      </c>
      <c r="T11" s="1634" t="s">
        <v>4125</v>
      </c>
      <c r="V11" s="1634">
        <f t="shared" si="0"/>
        <v>599</v>
      </c>
      <c r="AB11" s="3093">
        <v>1.8</v>
      </c>
      <c r="AC11" s="3094">
        <v>0.71199999999999997</v>
      </c>
      <c r="AD11" s="3094">
        <v>4.8</v>
      </c>
      <c r="AE11" s="3094">
        <v>1.4139999999999999</v>
      </c>
      <c r="AF11" s="3094">
        <v>7.8</v>
      </c>
      <c r="AG11" s="3095">
        <v>1.96</v>
      </c>
    </row>
    <row r="12" spans="1:33" ht="17">
      <c r="A12" s="1634" t="s">
        <v>4133</v>
      </c>
      <c r="B12" s="1634" t="s">
        <v>3199</v>
      </c>
      <c r="C12" s="1634" t="s">
        <v>4099</v>
      </c>
      <c r="D12" s="1634" t="s">
        <v>1326</v>
      </c>
      <c r="E12" s="1634" t="s">
        <v>4133</v>
      </c>
      <c r="F12" s="1634" t="s">
        <v>3219</v>
      </c>
      <c r="G12" s="1634" t="s">
        <v>4134</v>
      </c>
      <c r="H12" s="1634" t="s">
        <v>4101</v>
      </c>
      <c r="I12" s="1634">
        <v>82260</v>
      </c>
      <c r="J12" s="1634">
        <v>205650</v>
      </c>
      <c r="K12" s="1634" t="s">
        <v>3246</v>
      </c>
      <c r="L12" s="1634" t="s">
        <v>4135</v>
      </c>
      <c r="M12" s="1634" t="s">
        <v>4136</v>
      </c>
      <c r="N12" s="1634" t="s">
        <v>4137</v>
      </c>
      <c r="O12" s="1634">
        <v>47505.15</v>
      </c>
      <c r="P12" s="1634">
        <v>385</v>
      </c>
      <c r="Q12" s="1634">
        <v>2310</v>
      </c>
      <c r="R12" s="1634">
        <v>0</v>
      </c>
      <c r="S12" s="1634" t="s">
        <v>3331</v>
      </c>
      <c r="T12" s="1634" t="s">
        <v>3236</v>
      </c>
      <c r="V12" s="1634">
        <f t="shared" si="0"/>
        <v>5775</v>
      </c>
      <c r="AB12" s="3093">
        <v>1.9</v>
      </c>
      <c r="AC12" s="3094">
        <v>0.73599999999999999</v>
      </c>
      <c r="AD12" s="3094">
        <v>4.9000000000000004</v>
      </c>
      <c r="AE12" s="3094">
        <v>1.4370000000000001</v>
      </c>
      <c r="AF12" s="3094">
        <v>7.9</v>
      </c>
      <c r="AG12" s="3095">
        <v>1.98</v>
      </c>
    </row>
    <row r="13" spans="1:33" s="3089" customFormat="1" ht="17">
      <c r="A13" s="3089" t="s">
        <v>4138</v>
      </c>
      <c r="B13" s="3089" t="s">
        <v>3199</v>
      </c>
      <c r="C13" s="3089" t="s">
        <v>4099</v>
      </c>
      <c r="D13" s="3089" t="s">
        <v>1326</v>
      </c>
      <c r="E13" s="3089" t="s">
        <v>4138</v>
      </c>
      <c r="F13" s="3089" t="s">
        <v>3219</v>
      </c>
      <c r="G13" s="3089" t="s">
        <v>4139</v>
      </c>
      <c r="H13" s="3089" t="s">
        <v>4101</v>
      </c>
      <c r="I13" s="3089">
        <v>7290</v>
      </c>
      <c r="J13" s="3089">
        <v>4374</v>
      </c>
      <c r="K13" s="3089" t="s">
        <v>4140</v>
      </c>
      <c r="L13" s="3089" t="s">
        <v>3299</v>
      </c>
      <c r="M13" s="3089" t="s">
        <v>3300</v>
      </c>
      <c r="N13" s="3089" t="s">
        <v>4141</v>
      </c>
      <c r="O13" s="3089">
        <v>1312.2</v>
      </c>
      <c r="P13" s="3089">
        <v>120</v>
      </c>
      <c r="Q13" s="3089">
        <v>3000</v>
      </c>
      <c r="R13" s="3089">
        <v>0</v>
      </c>
      <c r="S13" s="3089" t="s">
        <v>3331</v>
      </c>
      <c r="T13" s="3089" t="s">
        <v>3229</v>
      </c>
      <c r="V13" s="3089">
        <f t="shared" si="0"/>
        <v>1800</v>
      </c>
      <c r="AB13" s="3099">
        <v>2</v>
      </c>
      <c r="AC13" s="3100">
        <v>0.76</v>
      </c>
      <c r="AD13" s="3100">
        <v>5</v>
      </c>
      <c r="AE13" s="3100">
        <v>1.44</v>
      </c>
      <c r="AF13" s="3100">
        <v>8</v>
      </c>
      <c r="AG13" s="3101">
        <v>1.99</v>
      </c>
    </row>
    <row r="14" spans="1:33" ht="17">
      <c r="A14" s="1634" t="s">
        <v>4142</v>
      </c>
      <c r="B14" s="1634" t="s">
        <v>3199</v>
      </c>
      <c r="C14" s="1634" t="s">
        <v>4099</v>
      </c>
      <c r="D14" s="1634" t="s">
        <v>1326</v>
      </c>
      <c r="E14" s="1634" t="s">
        <v>4142</v>
      </c>
      <c r="F14" s="1634" t="s">
        <v>3219</v>
      </c>
      <c r="G14" s="1634" t="s">
        <v>4143</v>
      </c>
      <c r="H14" s="1634" t="s">
        <v>4101</v>
      </c>
      <c r="I14" s="1634">
        <v>99839</v>
      </c>
      <c r="J14" s="1634">
        <v>249597.5</v>
      </c>
      <c r="K14" s="1634" t="s">
        <v>3328</v>
      </c>
      <c r="L14" s="1634" t="s">
        <v>3315</v>
      </c>
      <c r="M14" s="1634" t="s">
        <v>3329</v>
      </c>
      <c r="N14" s="1634" t="s">
        <v>4144</v>
      </c>
      <c r="O14" s="1634">
        <v>57657.22</v>
      </c>
      <c r="P14" s="1634">
        <v>385</v>
      </c>
      <c r="Q14" s="1634">
        <v>2310.0100000000002</v>
      </c>
      <c r="R14" s="1634">
        <v>0</v>
      </c>
      <c r="S14" s="1634" t="s">
        <v>3331</v>
      </c>
      <c r="T14" s="1634" t="s">
        <v>3229</v>
      </c>
      <c r="V14" s="1634">
        <f t="shared" si="0"/>
        <v>5775</v>
      </c>
      <c r="AB14" s="3093">
        <v>2.1</v>
      </c>
      <c r="AC14" s="3094">
        <v>0.78400000000000003</v>
      </c>
      <c r="AD14" s="3094">
        <v>5.0999999999999996</v>
      </c>
      <c r="AE14" s="3094">
        <v>1.462</v>
      </c>
      <c r="AF14" s="3094">
        <v>8.1</v>
      </c>
      <c r="AG14" s="3095">
        <v>2.0047000000000001</v>
      </c>
    </row>
    <row r="15" spans="1:33" ht="17">
      <c r="A15" s="1634" t="s">
        <v>4145</v>
      </c>
      <c r="B15" s="1634" t="s">
        <v>3199</v>
      </c>
      <c r="C15" s="1634" t="s">
        <v>4099</v>
      </c>
      <c r="D15" s="1634" t="s">
        <v>1326</v>
      </c>
      <c r="E15" s="1634" t="s">
        <v>4145</v>
      </c>
      <c r="F15" s="1634" t="s">
        <v>3219</v>
      </c>
      <c r="G15" s="1634" t="s">
        <v>4146</v>
      </c>
      <c r="H15" s="1634" t="s">
        <v>4101</v>
      </c>
      <c r="I15" s="1634">
        <v>120583</v>
      </c>
      <c r="J15" s="1634">
        <v>301457.5</v>
      </c>
      <c r="K15" s="1634" t="s">
        <v>3328</v>
      </c>
      <c r="L15" s="1634" t="s">
        <v>3315</v>
      </c>
      <c r="M15" s="1634" t="s">
        <v>3329</v>
      </c>
      <c r="N15" s="1634" t="s">
        <v>4147</v>
      </c>
      <c r="O15" s="1634">
        <v>69636.11</v>
      </c>
      <c r="P15" s="1634">
        <v>385</v>
      </c>
      <c r="Q15" s="1634">
        <v>2309.98</v>
      </c>
      <c r="R15" s="1634">
        <v>0</v>
      </c>
      <c r="S15" s="1634" t="s">
        <v>3331</v>
      </c>
      <c r="T15" s="1634" t="s">
        <v>3207</v>
      </c>
      <c r="V15" s="1634">
        <f t="shared" si="0"/>
        <v>5774</v>
      </c>
      <c r="AB15" s="3093">
        <v>2.2000000000000002</v>
      </c>
      <c r="AC15" s="3094">
        <v>0.80800000000000005</v>
      </c>
      <c r="AD15" s="3094">
        <v>5.2</v>
      </c>
      <c r="AE15" s="3094">
        <v>1.484</v>
      </c>
      <c r="AF15" s="3094">
        <v>8.1999999999999993</v>
      </c>
      <c r="AG15" s="3095">
        <v>2.0192000000000001</v>
      </c>
    </row>
    <row r="16" spans="1:33" ht="17">
      <c r="A16" s="1634" t="s">
        <v>4148</v>
      </c>
      <c r="B16" s="1634" t="s">
        <v>3199</v>
      </c>
      <c r="C16" s="1634" t="s">
        <v>4099</v>
      </c>
      <c r="D16" s="1634" t="s">
        <v>1326</v>
      </c>
      <c r="E16" s="1634" t="s">
        <v>4148</v>
      </c>
      <c r="F16" s="1634" t="s">
        <v>3219</v>
      </c>
      <c r="G16" s="1634" t="s">
        <v>4149</v>
      </c>
      <c r="H16" s="1634" t="s">
        <v>4150</v>
      </c>
      <c r="I16" s="1634">
        <v>35679</v>
      </c>
      <c r="J16" s="1634">
        <v>135580.20000000001</v>
      </c>
      <c r="K16" s="1634" t="s">
        <v>4151</v>
      </c>
      <c r="L16" s="1634" t="s">
        <v>4152</v>
      </c>
      <c r="M16" s="1634" t="s">
        <v>4153</v>
      </c>
      <c r="N16" s="1634" t="s">
        <v>3362</v>
      </c>
      <c r="O16" s="1634">
        <v>15306</v>
      </c>
      <c r="P16" s="1634">
        <v>285.99</v>
      </c>
      <c r="Q16" s="1634">
        <v>1128.93</v>
      </c>
      <c r="R16" s="1634">
        <v>0</v>
      </c>
      <c r="S16" s="1634" t="s">
        <v>3331</v>
      </c>
      <c r="T16" s="1634" t="s">
        <v>3229</v>
      </c>
      <c r="V16" s="1634">
        <f t="shared" si="0"/>
        <v>4289</v>
      </c>
      <c r="AB16" s="3093">
        <v>2.2999999999999998</v>
      </c>
      <c r="AC16" s="3094">
        <v>0.83199999999999996</v>
      </c>
      <c r="AD16" s="3094">
        <v>5.3</v>
      </c>
      <c r="AE16" s="3094">
        <v>1.506</v>
      </c>
      <c r="AF16" s="3094">
        <v>8.3000000000000007</v>
      </c>
      <c r="AG16" s="3095">
        <v>2.0493999999999999</v>
      </c>
    </row>
    <row r="17" spans="1:33" s="2986" customFormat="1" ht="17">
      <c r="A17" s="2986" t="s">
        <v>4154</v>
      </c>
      <c r="B17" s="2986" t="s">
        <v>3199</v>
      </c>
      <c r="C17" s="2986" t="s">
        <v>4099</v>
      </c>
      <c r="D17" s="2986" t="s">
        <v>1326</v>
      </c>
      <c r="E17" s="2986" t="s">
        <v>4154</v>
      </c>
      <c r="F17" s="2986" t="s">
        <v>3219</v>
      </c>
      <c r="G17" s="2986" t="s">
        <v>4155</v>
      </c>
      <c r="H17" s="2986" t="s">
        <v>4101</v>
      </c>
      <c r="I17" s="2986">
        <v>54377</v>
      </c>
      <c r="J17" s="2986">
        <v>54377</v>
      </c>
      <c r="K17" s="2986" t="s">
        <v>4156</v>
      </c>
      <c r="L17" s="2986" t="s">
        <v>4157</v>
      </c>
      <c r="M17" s="2986" t="s">
        <v>4158</v>
      </c>
      <c r="N17" s="2986" t="s">
        <v>4159</v>
      </c>
      <c r="O17" s="2986">
        <v>8972.2000000000007</v>
      </c>
      <c r="P17" s="2986">
        <v>110</v>
      </c>
      <c r="Q17" s="2986">
        <v>1650</v>
      </c>
      <c r="R17" s="2986">
        <v>0</v>
      </c>
      <c r="S17" s="2986" t="s">
        <v>3331</v>
      </c>
      <c r="T17" s="2986" t="s">
        <v>3229</v>
      </c>
      <c r="V17" s="2986">
        <f t="shared" si="0"/>
        <v>1649</v>
      </c>
      <c r="AB17" s="3093">
        <v>2.4</v>
      </c>
      <c r="AC17" s="3094">
        <v>0.85599999999999998</v>
      </c>
      <c r="AD17" s="3094">
        <v>5.4</v>
      </c>
      <c r="AE17" s="3094">
        <v>1.528</v>
      </c>
      <c r="AF17" s="3094">
        <v>8.4</v>
      </c>
      <c r="AG17" s="3095">
        <v>2.0583999999999998</v>
      </c>
    </row>
    <row r="18" spans="1:33" ht="17">
      <c r="A18" s="3102" t="s">
        <v>4167</v>
      </c>
      <c r="I18" s="3102">
        <v>23756</v>
      </c>
      <c r="J18" s="3102">
        <v>49887.6</v>
      </c>
      <c r="K18" s="3102" t="s">
        <v>4168</v>
      </c>
      <c r="L18" s="3102" t="s">
        <v>4169</v>
      </c>
      <c r="N18" s="3102" t="s">
        <v>3362</v>
      </c>
      <c r="O18" s="3103">
        <v>3937.11</v>
      </c>
      <c r="P18" s="3103">
        <v>110.49</v>
      </c>
      <c r="Q18" s="3103">
        <v>789.2</v>
      </c>
      <c r="V18" s="2986">
        <f t="shared" si="0"/>
        <v>1657</v>
      </c>
      <c r="AB18" s="3093">
        <v>2.5</v>
      </c>
      <c r="AC18" s="3094">
        <v>0.88</v>
      </c>
      <c r="AD18" s="3094">
        <v>5.5</v>
      </c>
      <c r="AE18" s="3094">
        <v>1.55</v>
      </c>
      <c r="AF18" s="3094">
        <v>8.5</v>
      </c>
      <c r="AG18" s="3095">
        <v>2.0724999999999998</v>
      </c>
    </row>
    <row r="19" spans="1:33" ht="17">
      <c r="A19" s="3102" t="s">
        <v>4170</v>
      </c>
      <c r="I19" s="3102">
        <v>66903</v>
      </c>
      <c r="J19" s="3102">
        <v>140496.29999999999</v>
      </c>
      <c r="K19" s="3102" t="s">
        <v>4168</v>
      </c>
      <c r="L19" s="3102" t="s">
        <v>4169</v>
      </c>
      <c r="N19" s="3102" t="s">
        <v>3362</v>
      </c>
      <c r="O19" s="3103">
        <v>11700.8</v>
      </c>
      <c r="P19" s="3103">
        <v>116.59</v>
      </c>
      <c r="Q19" s="3103">
        <v>832.82</v>
      </c>
      <c r="V19" s="2986">
        <f t="shared" si="0"/>
        <v>1748</v>
      </c>
      <c r="AB19" s="3093">
        <v>2.6</v>
      </c>
      <c r="AC19" s="3094">
        <v>0.90400000000000003</v>
      </c>
      <c r="AD19" s="3094">
        <v>5.6</v>
      </c>
      <c r="AE19" s="3094">
        <v>1.5720000000000001</v>
      </c>
      <c r="AF19" s="3094">
        <v>8.6</v>
      </c>
      <c r="AG19" s="3095">
        <v>2.0863999999999998</v>
      </c>
    </row>
    <row r="20" spans="1:33" ht="30">
      <c r="A20" s="3102" t="s">
        <v>4171</v>
      </c>
      <c r="I20" s="3102">
        <v>21872</v>
      </c>
      <c r="J20" s="3102">
        <v>54680</v>
      </c>
      <c r="K20" s="3102" t="s">
        <v>4172</v>
      </c>
      <c r="L20" s="3102" t="s">
        <v>4173</v>
      </c>
      <c r="N20" s="3102" t="s">
        <v>4174</v>
      </c>
      <c r="O20" s="3103">
        <v>7217.76</v>
      </c>
      <c r="P20" s="3103">
        <v>220</v>
      </c>
      <c r="Q20" s="3103">
        <v>1320</v>
      </c>
      <c r="V20" s="2986">
        <f t="shared" si="0"/>
        <v>3300</v>
      </c>
      <c r="AB20" s="3093">
        <v>2.7</v>
      </c>
      <c r="AC20" s="3094">
        <v>0.92800000000000005</v>
      </c>
      <c r="AD20" s="3094">
        <v>5.7</v>
      </c>
      <c r="AE20" s="3094">
        <v>1.5940000000000001</v>
      </c>
      <c r="AF20" s="3094">
        <v>8.6999999999999993</v>
      </c>
      <c r="AG20" s="3095">
        <v>2.1000999999999999</v>
      </c>
    </row>
    <row r="21" spans="1:33" ht="30">
      <c r="A21" s="3102" t="s">
        <v>4175</v>
      </c>
      <c r="I21" s="3102">
        <v>35400</v>
      </c>
      <c r="J21" s="3102">
        <v>88500</v>
      </c>
      <c r="K21" s="3102" t="s">
        <v>4172</v>
      </c>
      <c r="L21" s="3102" t="s">
        <v>4173</v>
      </c>
      <c r="N21" s="3102" t="s">
        <v>4174</v>
      </c>
      <c r="O21" s="3103">
        <v>11682</v>
      </c>
      <c r="P21" s="3103">
        <v>220</v>
      </c>
      <c r="Q21" s="3103">
        <v>1320</v>
      </c>
      <c r="V21" s="2986">
        <f t="shared" si="0"/>
        <v>3300</v>
      </c>
      <c r="AB21" s="3093">
        <v>2.8</v>
      </c>
      <c r="AC21" s="3094">
        <v>0.95199999999999996</v>
      </c>
      <c r="AD21" s="3094">
        <v>5.8</v>
      </c>
      <c r="AE21" s="3094">
        <v>1.6160000000000001</v>
      </c>
      <c r="AF21" s="3094">
        <v>8.8000000000000007</v>
      </c>
      <c r="AG21" s="3095">
        <v>2.1135999999999999</v>
      </c>
    </row>
    <row r="22" spans="1:33" ht="30">
      <c r="A22" s="3102" t="s">
        <v>4176</v>
      </c>
      <c r="I22" s="3102">
        <v>7944</v>
      </c>
      <c r="J22" s="3102">
        <v>25420.799999999999</v>
      </c>
      <c r="K22" s="3102" t="s">
        <v>4177</v>
      </c>
      <c r="L22" s="3102" t="s">
        <v>4173</v>
      </c>
      <c r="N22" s="3102" t="s">
        <v>4174</v>
      </c>
      <c r="O22" s="3103">
        <v>3276.9</v>
      </c>
      <c r="P22" s="3103">
        <v>275</v>
      </c>
      <c r="Q22" s="3103">
        <v>1289.05</v>
      </c>
      <c r="V22" s="2986">
        <f t="shared" si="0"/>
        <v>4125</v>
      </c>
      <c r="AB22" s="3093">
        <v>2.9</v>
      </c>
      <c r="AC22" s="3094">
        <v>0.97599999999999998</v>
      </c>
      <c r="AD22" s="3094">
        <v>5.9</v>
      </c>
      <c r="AE22" s="3094">
        <v>1.6379999999999999</v>
      </c>
      <c r="AF22" s="3094">
        <v>8.9</v>
      </c>
      <c r="AG22" s="3095">
        <v>2.1269</v>
      </c>
    </row>
    <row r="23" spans="1:33" ht="17">
      <c r="A23" s="3102"/>
      <c r="I23" s="3102"/>
      <c r="J23" s="3102"/>
      <c r="K23" s="3102"/>
      <c r="L23" s="3102"/>
      <c r="N23" s="3102"/>
      <c r="O23" s="3103"/>
      <c r="P23" s="3103"/>
      <c r="Q23" s="3103"/>
      <c r="AB23" s="3093">
        <v>3</v>
      </c>
      <c r="AC23" s="3094">
        <v>1</v>
      </c>
      <c r="AD23" s="3094">
        <v>6</v>
      </c>
      <c r="AE23" s="3094">
        <v>1.645</v>
      </c>
      <c r="AF23" s="3094">
        <v>9</v>
      </c>
      <c r="AG23" s="3095">
        <v>2.14</v>
      </c>
    </row>
    <row r="24" spans="1:33" ht="17">
      <c r="AB24" s="3093">
        <v>3.1</v>
      </c>
      <c r="AC24" s="3094">
        <v>1.024</v>
      </c>
      <c r="AD24" s="3094">
        <v>6.1</v>
      </c>
      <c r="AE24" s="3094">
        <v>1.651</v>
      </c>
      <c r="AF24" s="3094">
        <v>9.1</v>
      </c>
      <c r="AG24" s="3095">
        <v>2.1589999999999998</v>
      </c>
    </row>
    <row r="25" spans="1:33" ht="17">
      <c r="AB25" s="3093">
        <v>3.2</v>
      </c>
      <c r="AC25" s="3094">
        <v>1.048</v>
      </c>
      <c r="AD25" s="3094">
        <v>6.2</v>
      </c>
      <c r="AE25" s="3094">
        <v>1.6719999999999999</v>
      </c>
      <c r="AF25" s="3094">
        <v>9.1999999999999993</v>
      </c>
      <c r="AG25" s="3095">
        <v>2.1779999999999999</v>
      </c>
    </row>
    <row r="26" spans="1:33" ht="17">
      <c r="AB26" s="3093">
        <v>3.3</v>
      </c>
      <c r="AC26" s="3094">
        <v>1.0720000000000001</v>
      </c>
      <c r="AD26" s="3094">
        <v>6.3</v>
      </c>
      <c r="AE26" s="3094">
        <v>1.6930000000000001</v>
      </c>
      <c r="AF26" s="3094">
        <v>9.3000000000000007</v>
      </c>
      <c r="AG26" s="3095">
        <v>2.1970000000000001</v>
      </c>
    </row>
    <row r="27" spans="1:33" ht="17">
      <c r="AB27" s="3093">
        <v>3.4</v>
      </c>
      <c r="AC27" s="3094">
        <v>1.0960000000000001</v>
      </c>
      <c r="AD27" s="3094">
        <v>6.4</v>
      </c>
      <c r="AE27" s="3094">
        <v>1.714</v>
      </c>
      <c r="AF27" s="3094">
        <v>9.4</v>
      </c>
      <c r="AG27" s="3095">
        <v>2.2160000000000002</v>
      </c>
    </row>
    <row r="28" spans="1:33" ht="17">
      <c r="AB28" s="3093">
        <v>3.5</v>
      </c>
      <c r="AC28" s="3094">
        <v>1.1200000000000001</v>
      </c>
      <c r="AD28" s="3094">
        <v>6.5</v>
      </c>
      <c r="AE28" s="3094">
        <v>1.7350000000000001</v>
      </c>
      <c r="AF28" s="3094">
        <v>9.5</v>
      </c>
      <c r="AG28" s="3095">
        <v>2.2349999999999999</v>
      </c>
    </row>
    <row r="29" spans="1:33" ht="17">
      <c r="AB29" s="3093">
        <v>3.6</v>
      </c>
      <c r="AC29" s="3094">
        <v>1.1439999999999999</v>
      </c>
      <c r="AD29" s="3094">
        <v>6.6</v>
      </c>
      <c r="AE29" s="3094">
        <v>1.756</v>
      </c>
      <c r="AF29" s="3094">
        <v>9.6</v>
      </c>
      <c r="AG29" s="3095">
        <v>2.254</v>
      </c>
    </row>
    <row r="30" spans="1:33" ht="17">
      <c r="AB30" s="3093">
        <v>3.7</v>
      </c>
      <c r="AC30" s="3094">
        <v>1.1679999999999999</v>
      </c>
      <c r="AD30" s="3094">
        <v>6.7</v>
      </c>
      <c r="AE30" s="3094">
        <v>1.7769999999999999</v>
      </c>
      <c r="AF30" s="3094">
        <v>9.6999999999999993</v>
      </c>
      <c r="AG30" s="3095">
        <v>2.2730000000000001</v>
      </c>
    </row>
    <row r="31" spans="1:33" ht="17">
      <c r="AB31" s="3093">
        <v>3.8</v>
      </c>
      <c r="AC31" s="3094">
        <v>1.1919999999999999</v>
      </c>
      <c r="AD31" s="3094">
        <v>6.8</v>
      </c>
      <c r="AE31" s="3094">
        <v>1.798</v>
      </c>
      <c r="AF31" s="3094">
        <v>9.8000000000000007</v>
      </c>
      <c r="AG31" s="3095">
        <v>2.2919999999999998</v>
      </c>
    </row>
    <row r="32" spans="1:33" ht="18" thickBot="1">
      <c r="AB32" s="3096">
        <v>3.9</v>
      </c>
      <c r="AC32" s="3097">
        <v>1.216</v>
      </c>
      <c r="AD32" s="3097">
        <v>6.9</v>
      </c>
      <c r="AE32" s="3097">
        <v>1.819</v>
      </c>
      <c r="AF32" s="3097">
        <v>9.9</v>
      </c>
      <c r="AG32" s="3098">
        <v>2.3109999999999999</v>
      </c>
    </row>
  </sheetData>
  <phoneticPr fontId="14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G34"/>
  <sheetViews>
    <sheetView workbookViewId="0">
      <selection activeCell="D8" sqref="D8"/>
    </sheetView>
  </sheetViews>
  <sheetFormatPr baseColWidth="10" defaultColWidth="6.6640625" defaultRowHeight="13"/>
  <cols>
    <col min="1" max="1" width="9.83203125" style="798" customWidth="1"/>
    <col min="2" max="2" width="25.83203125" style="952" customWidth="1"/>
    <col min="3" max="3" width="10.33203125" style="995" customWidth="1"/>
    <col min="4" max="4" width="9.83203125" style="952" customWidth="1"/>
    <col min="5" max="5" width="9.5" style="798" customWidth="1"/>
    <col min="6" max="6" width="10.1640625" style="952" customWidth="1"/>
    <col min="7" max="7" width="10.832031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640625" style="952"/>
  </cols>
  <sheetData>
    <row r="1" spans="1:33" ht="20">
      <c r="A1" s="240" t="s">
        <v>2456</v>
      </c>
      <c r="B1" s="1580"/>
      <c r="C1" s="1581"/>
      <c r="D1" s="1579"/>
      <c r="E1" s="320"/>
      <c r="F1" s="320"/>
      <c r="G1" s="1580"/>
      <c r="H1" s="320"/>
      <c r="I1" s="320"/>
      <c r="J1" s="320"/>
      <c r="K1" s="320">
        <f>MATCH(C1,'数据-取费表'!A6:A16,0)+5</f>
        <v>10</v>
      </c>
    </row>
    <row r="2" spans="1:33" ht="18" customHeight="1">
      <c r="A2" s="245" t="s">
        <v>2324</v>
      </c>
      <c r="B2" s="248">
        <f ca="1">C32</f>
        <v>309538</v>
      </c>
      <c r="C2" s="320" t="s">
        <v>2457</v>
      </c>
      <c r="D2" s="320"/>
      <c r="E2" s="320"/>
      <c r="F2" s="320"/>
      <c r="G2" s="320"/>
      <c r="H2" s="320"/>
      <c r="I2" s="320"/>
      <c r="J2" s="320"/>
      <c r="K2" s="320"/>
    </row>
    <row r="3" spans="1:33" ht="18" customHeight="1" thickBot="1">
      <c r="A3" s="247" t="s">
        <v>2326</v>
      </c>
      <c r="B3" s="248">
        <f ca="1">ROUND(B2*10000/IF(C1="",'数据-汇总表'!E3,INDIRECT("'数据-取费表'!K"&amp;$K$1)),0)</f>
        <v>3114</v>
      </c>
      <c r="C3" s="320" t="s">
        <v>2458</v>
      </c>
      <c r="D3" s="320"/>
      <c r="E3" s="320"/>
      <c r="F3" s="320"/>
      <c r="G3" s="320"/>
      <c r="H3" s="320"/>
      <c r="I3" s="320"/>
      <c r="J3" s="320"/>
      <c r="K3" s="320"/>
    </row>
    <row r="4" spans="1:33" s="956" customFormat="1" ht="16.5" customHeight="1">
      <c r="A4" s="953" t="s">
        <v>2459</v>
      </c>
      <c r="B4" s="954"/>
      <c r="C4" s="996">
        <f>SUM(C8:K8)</f>
        <v>913323</v>
      </c>
      <c r="D4" s="954"/>
      <c r="E4" s="954"/>
      <c r="F4" s="954"/>
      <c r="G4" s="954"/>
      <c r="H4" s="954"/>
      <c r="I4" s="954"/>
      <c r="J4" s="954"/>
      <c r="K4" s="955"/>
    </row>
    <row r="5" spans="1:33" s="960" customFormat="1" ht="28">
      <c r="A5" s="957" t="s">
        <v>2460</v>
      </c>
      <c r="B5" s="958" t="s">
        <v>2461</v>
      </c>
      <c r="C5" s="2554" t="s">
        <v>3955</v>
      </c>
      <c r="D5" s="2554" t="s">
        <v>3962</v>
      </c>
      <c r="E5" s="2554" t="s">
        <v>27</v>
      </c>
      <c r="F5" s="2554" t="s">
        <v>4276</v>
      </c>
      <c r="G5" s="2554" t="s">
        <v>4279</v>
      </c>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v>10200</v>
      </c>
      <c r="D6" s="962">
        <v>20000</v>
      </c>
      <c r="E6" s="962"/>
      <c r="F6" s="962">
        <v>10000</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118403.795</v>
      </c>
      <c r="D7" s="321">
        <f>SUMIF('数据-汇总表'!$C19:$C33,假设开发法!D5,'数据-汇总表'!$E19:$E33)</f>
        <v>392359.87599999993</v>
      </c>
      <c r="E7" s="321">
        <f>SUMIF('数据-汇总表'!$C19:$C33,假设开发法!E5,'数据-汇总表'!$E19:$E33)</f>
        <v>0</v>
      </c>
      <c r="F7" s="321">
        <f>SUMIF('数据-汇总表'!$C19:$C33,假设开发法!F5,'数据-汇总表'!$E19:$E33)</f>
        <v>7831.23</v>
      </c>
      <c r="G7" s="321">
        <f>SUMIF('数据-汇总表'!$C19:$C33,假设开发法!G5,'数据-汇总表'!$E19:$E33)</f>
        <v>465742.42000000004</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2465</v>
      </c>
      <c r="B8" s="177" t="s">
        <v>2466</v>
      </c>
      <c r="C8" s="997">
        <f>ROUND(C6*C7/10000,0)</f>
        <v>120772</v>
      </c>
      <c r="D8" s="997">
        <f>ROUND(D6*D7/10000,0)</f>
        <v>784720</v>
      </c>
      <c r="E8" s="997">
        <f>ROUND(E6*E7/10000,0)</f>
        <v>0</v>
      </c>
      <c r="F8" s="997">
        <f>ROUND(F6*F7/10000,0)</f>
        <v>7831</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1329</v>
      </c>
      <c r="B11" s="972" t="s">
        <v>2474</v>
      </c>
      <c r="C11" s="323">
        <f ca="1">IF(C1="",'数据-取费表'!P16,INDIRECT("'数据-取费表'!p"&amp;$K$1)+INDIRECT("'数据-取费表'!ar"&amp;$K$1))</f>
        <v>286573</v>
      </c>
      <c r="D11" s="973"/>
      <c r="E11" s="375"/>
      <c r="F11" s="974">
        <f ca="1">1-IF('数据-取费表'!B24=0,1,IF(C1="",'数据-取费表'!N16,INDIRECT("'数据-取费表'!n"&amp;$K$1)))</f>
        <v>1</v>
      </c>
      <c r="G11" s="8"/>
      <c r="H11" s="968"/>
      <c r="I11" s="968"/>
      <c r="J11" s="968"/>
      <c r="K11" s="969"/>
    </row>
    <row r="12" spans="1:33" s="975" customFormat="1" ht="13.5" customHeight="1">
      <c r="A12" s="971" t="s">
        <v>1330</v>
      </c>
      <c r="B12" s="972" t="s">
        <v>2475</v>
      </c>
      <c r="C12" s="24">
        <f ca="1">ROUND(C11*F12,0)</f>
        <v>8597</v>
      </c>
      <c r="D12" s="973"/>
      <c r="E12" s="375"/>
      <c r="F12" s="976">
        <f>'数据-取费表'!B33</f>
        <v>0.03</v>
      </c>
      <c r="G12" s="8" t="s">
        <v>2476</v>
      </c>
      <c r="H12" s="968"/>
      <c r="I12" s="968"/>
      <c r="J12" s="968"/>
      <c r="K12" s="969"/>
    </row>
    <row r="13" spans="1:33" s="975" customFormat="1" ht="13.5" customHeight="1">
      <c r="A13" s="971" t="s">
        <v>1331</v>
      </c>
      <c r="B13" s="972" t="s">
        <v>2477</v>
      </c>
      <c r="C13" s="24">
        <f ca="1">ROUND(IF(C1="",SUMIF('数据-取费表'!C:C,"住宅",'数据-取费表'!P:P)*F13,IF(INDIRECT("'数据-取费表'!c"&amp;$K$1)="住宅",INDIRECT("'数据-取费表'!P"&amp;$K$1)*F13,0)),0)</f>
        <v>4539</v>
      </c>
      <c r="D13" s="1033"/>
      <c r="E13" s="375"/>
      <c r="F13" s="976">
        <f>'数据-取费表'!B34</f>
        <v>0.03</v>
      </c>
      <c r="G13" s="8" t="s">
        <v>2478</v>
      </c>
      <c r="H13" s="968"/>
      <c r="I13" s="968"/>
      <c r="J13" s="968"/>
      <c r="K13" s="969"/>
    </row>
    <row r="14" spans="1:33" s="977" customFormat="1" ht="13.5" customHeight="1">
      <c r="A14" s="971" t="s">
        <v>1332</v>
      </c>
      <c r="B14" s="972" t="s">
        <v>2479</v>
      </c>
      <c r="C14" s="24">
        <f ca="1">ROUND(D14*E14*F11/10000,0)</f>
        <v>19877</v>
      </c>
      <c r="D14" s="1033">
        <f ca="1">IF(C1="",'数据-汇总表'!E3,INDIRECT("'数据-取费表'!K"&amp;$K$1)+INDIRECT("'数据-取费表'!S"&amp;$K$1))</f>
        <v>993873.23100000003</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2481</v>
      </c>
      <c r="C15" s="983">
        <f ca="1">ROUND(C11*F15,0)</f>
        <v>4299</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323885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4969</v>
      </c>
      <c r="D17" s="1033">
        <f ca="1">D14</f>
        <v>993873.23100000003</v>
      </c>
      <c r="E17" s="24">
        <f>'数据-取费表'!B32</f>
        <v>50</v>
      </c>
      <c r="F17" s="978"/>
      <c r="G17" s="140" t="s">
        <v>2485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2486</v>
      </c>
      <c r="C18" s="24">
        <f ca="1">C19+C20-IF(C1="",'数据-取费表'!B29,IF(G18="已全部缴纳",C19+C20,H18))</f>
        <v>6460</v>
      </c>
      <c r="D18" s="1033"/>
      <c r="E18" s="24"/>
      <c r="F18" s="976"/>
      <c r="G18" s="2556"/>
      <c r="H18" s="1576"/>
      <c r="I18" s="2557" t="s">
        <v>2487</v>
      </c>
      <c r="J18" s="979"/>
      <c r="K18" s="980"/>
    </row>
    <row r="19" spans="1:33" s="975" customFormat="1" ht="13.5" customHeight="1">
      <c r="A19" s="971" t="s">
        <v>805</v>
      </c>
      <c r="B19" s="972" t="s">
        <v>2488</v>
      </c>
      <c r="C19" s="24">
        <f ca="1">ROUND(D19*E19/10000,0)</f>
        <v>3320</v>
      </c>
      <c r="D19" s="1033">
        <f ca="1">IF(C1="",'数据-汇总表'!E5,IF(INDIRECT("'数据-取费表'!c"&amp;$K$1)="住宅",INDIRECT("'数据-取费表'!k"&amp;$K$1),0))</f>
        <v>510763.67099999991</v>
      </c>
      <c r="E19" s="24">
        <f>'数据-取费表'!B27</f>
        <v>65</v>
      </c>
      <c r="F19" s="976"/>
      <c r="G19" s="15"/>
      <c r="H19" s="1578"/>
      <c r="I19" s="981"/>
      <c r="J19" s="981"/>
      <c r="K19" s="982"/>
    </row>
    <row r="20" spans="1:33" s="975" customFormat="1" ht="13.5" customHeight="1">
      <c r="A20" s="971" t="s">
        <v>806</v>
      </c>
      <c r="B20" s="972" t="s">
        <v>2489</v>
      </c>
      <c r="C20" s="24">
        <f ca="1">ROUND(D20*E20/10000,0)</f>
        <v>3140</v>
      </c>
      <c r="D20" s="1033">
        <f ca="1">IF(C1="",'数据-汇总表'!E6,IF(INDIRECT("'数据-取费表'!c"&amp;$K$1)="住宅",INDIRECT("'数据-取费表'!s"&amp;$K$1),INDIRECT("'数据-取费表'!k"&amp;$K$1)+INDIRECT("'数据-取费表'!s"&amp;$K$1)))</f>
        <v>483109.56000000011</v>
      </c>
      <c r="E20" s="24">
        <f>'数据-取费表'!B28</f>
        <v>65</v>
      </c>
      <c r="F20" s="976"/>
      <c r="G20" s="15"/>
      <c r="H20" s="981"/>
      <c r="I20" s="981"/>
      <c r="J20" s="981"/>
      <c r="K20" s="982"/>
    </row>
    <row r="21" spans="1:33" s="975" customFormat="1" ht="13.5" customHeight="1">
      <c r="A21" s="961" t="s">
        <v>802</v>
      </c>
      <c r="B21" s="985" t="s">
        <v>2490</v>
      </c>
      <c r="C21" s="986">
        <f ca="1">C16+C17+C18</f>
        <v>335314</v>
      </c>
      <c r="D21" s="987"/>
      <c r="E21" s="325"/>
      <c r="F21" s="325"/>
      <c r="G21" s="140" t="s">
        <v>2491</v>
      </c>
      <c r="H21" s="979"/>
      <c r="I21" s="979"/>
      <c r="J21" s="979"/>
      <c r="K21" s="980"/>
    </row>
    <row r="22" spans="1:33" s="975" customFormat="1" ht="13.5" customHeight="1">
      <c r="A22" s="961" t="s">
        <v>2463</v>
      </c>
      <c r="B22" s="985" t="s">
        <v>2492</v>
      </c>
      <c r="C22" s="986">
        <f ca="1">ROUND(C21*F22,0)</f>
        <v>3353</v>
      </c>
      <c r="D22" s="325"/>
      <c r="E22" s="325"/>
      <c r="F22" s="988">
        <f>'数据-取费表'!B37</f>
        <v>0.01</v>
      </c>
      <c r="G22" s="8" t="s">
        <v>2493</v>
      </c>
      <c r="H22" s="968"/>
      <c r="I22" s="968"/>
      <c r="J22" s="968"/>
      <c r="K22" s="969"/>
    </row>
    <row r="23" spans="1:33" s="975" customFormat="1" ht="13.5" customHeight="1">
      <c r="A23" s="961" t="s">
        <v>2465</v>
      </c>
      <c r="B23" s="985" t="s">
        <v>2494</v>
      </c>
      <c r="C23" s="986">
        <f ca="1">ROUND(C4*F23*F11,0)</f>
        <v>13700</v>
      </c>
      <c r="D23" s="325"/>
      <c r="E23" s="325"/>
      <c r="F23" s="988">
        <f>'数据-取费表'!B38</f>
        <v>1.4999999999999999E-2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25402</v>
      </c>
      <c r="D25" s="324">
        <f ca="1">C26</f>
        <v>0.1537</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0.1537</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25402</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2503</v>
      </c>
      <c r="B28" s="2559" t="s">
        <v>2504</v>
      </c>
      <c r="C28" s="331">
        <f ca="1">C30</f>
        <v>63426</v>
      </c>
      <c r="D28" s="324">
        <f ca="1">C29</f>
        <v>0.1852</v>
      </c>
      <c r="E28" s="326" t="s">
        <v>15</v>
      </c>
      <c r="F28" s="332">
        <f ca="1">IF(C1="",'数据-取费表'!Q16,INDIRECT("'数据-取费表'!q"&amp;$K$1))</f>
        <v>0.18</v>
      </c>
      <c r="G28" s="989"/>
      <c r="H28" s="990"/>
      <c r="I28" s="990"/>
      <c r="J28" s="990"/>
      <c r="K28" s="991"/>
    </row>
    <row r="29" spans="1:33" s="335" customFormat="1" ht="13.5" customHeight="1">
      <c r="A29" s="971" t="s">
        <v>803</v>
      </c>
      <c r="B29" s="994" t="s">
        <v>2505</v>
      </c>
      <c r="C29" s="328">
        <f ca="1">ROUND((1+C24)*F28*'数据-取费表'!B24/'数据-取费表'!B20,4)</f>
        <v>0.1852</v>
      </c>
      <c r="D29" s="328"/>
      <c r="E29" s="329"/>
      <c r="F29" s="334"/>
      <c r="G29" s="140" t="s">
        <v>2506</v>
      </c>
      <c r="H29" s="979"/>
      <c r="I29" s="979"/>
      <c r="J29" s="979"/>
      <c r="K29" s="980"/>
    </row>
    <row r="30" spans="1:33" s="335" customFormat="1" ht="13.5" customHeight="1">
      <c r="A30" s="971" t="s">
        <v>804</v>
      </c>
      <c r="B30" s="994" t="s">
        <v>2507</v>
      </c>
      <c r="C30" s="336">
        <f ca="1">ROUND((C21+C22+C23)*F28,0)</f>
        <v>63426</v>
      </c>
      <c r="D30" s="328"/>
      <c r="E30" s="329"/>
      <c r="F30" s="334"/>
      <c r="G30" s="140"/>
      <c r="H30" s="979"/>
      <c r="I30" s="979"/>
      <c r="J30" s="979"/>
      <c r="K30" s="980"/>
    </row>
    <row r="31" spans="1:33" s="975" customFormat="1" ht="13.5" customHeight="1" thickBot="1">
      <c r="A31" s="2560" t="s">
        <v>2508</v>
      </c>
      <c r="B31" s="1005" t="s">
        <v>2509</v>
      </c>
      <c r="C31" s="1006">
        <f>ROUND(C4*F31/(1+'数据-取费表'!C42),0)</f>
        <v>48711</v>
      </c>
      <c r="D31" s="1007"/>
      <c r="E31" s="1008"/>
      <c r="F31" s="1009">
        <f>'数据-取费表'!B41</f>
        <v>5.6000000000000001E-2</v>
      </c>
      <c r="G31" s="1010" t="s">
        <v>2510</v>
      </c>
      <c r="H31" s="1011"/>
      <c r="I31" s="1011"/>
      <c r="J31" s="1011"/>
      <c r="K31" s="1012"/>
    </row>
    <row r="32" spans="1:33" s="970" customFormat="1" ht="13.5" customHeight="1" thickBot="1">
      <c r="A32" s="1000" t="s">
        <v>2511</v>
      </c>
      <c r="B32" s="1001"/>
      <c r="C32" s="1002">
        <f ca="1">ROUND((C4-C21-C22-C23-C25-C28-C31)/(1+C24+D25+D28),0)</f>
        <v>309538</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xr:uid="{00000000-0002-0000-2000-000000000000}">
      <formula1>项目类型</formula1>
    </dataValidation>
    <dataValidation type="list" allowBlank="1" showInputMessage="1" showErrorMessage="1" sqref="G18" xr:uid="{00000000-0002-0000-20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3:C17"/>
  <sheetViews>
    <sheetView topLeftCell="B7" zoomScale="86" zoomScaleNormal="110" workbookViewId="0">
      <selection activeCell="Q30" sqref="Q30"/>
    </sheetView>
  </sheetViews>
  <sheetFormatPr baseColWidth="10" defaultColWidth="11" defaultRowHeight="14"/>
  <sheetData>
    <row r="3" spans="3:3">
      <c r="C3" s="2962"/>
    </row>
    <row r="5" spans="3:3">
      <c r="C5" s="2962"/>
    </row>
    <row r="17" spans="2:2">
      <c r="B17" s="2962"/>
    </row>
  </sheetData>
  <phoneticPr fontId="142"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topLeftCell="S1" zoomScale="70" zoomScaleNormal="70" zoomScaleSheetLayoutView="90" workbookViewId="0">
      <selection activeCell="J53" sqref="J53"/>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832031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3" customWidth="1"/>
    <col min="12" max="12" width="16.33203125" style="302" customWidth="1"/>
    <col min="13" max="13" width="13" style="302" customWidth="1"/>
    <col min="14" max="14" width="13.83203125" style="1841" customWidth="1"/>
    <col min="15" max="15" width="5.1640625" style="1841" customWidth="1"/>
    <col min="16" max="16" width="25.83203125" style="1841" customWidth="1"/>
    <col min="17" max="17" width="13.83203125" style="1841" customWidth="1"/>
    <col min="18" max="18" width="20.5" style="1841" customWidth="1"/>
    <col min="19" max="19" width="13.1640625" style="1841" customWidth="1"/>
    <col min="20" max="37" width="9" style="1841"/>
    <col min="38" max="16384" width="9" style="302"/>
  </cols>
  <sheetData>
    <row r="1" spans="1:37" s="337" customFormat="1" ht="20">
      <c r="A1" s="1832" t="s">
        <v>1583</v>
      </c>
      <c r="B1" s="782"/>
      <c r="C1" s="1836"/>
      <c r="D1" s="1819"/>
      <c r="E1" s="1820" t="s">
        <v>1381</v>
      </c>
      <c r="F1" s="1283">
        <f ca="1">J53</f>
        <v>-3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0</v>
      </c>
      <c r="D5" s="1821" t="s">
        <v>1396</v>
      </c>
      <c r="E5" s="1293"/>
      <c r="F5" s="1294"/>
      <c r="G5" s="1850"/>
      <c r="H5" s="344">
        <v>1</v>
      </c>
      <c r="I5" s="345" t="s">
        <v>1395</v>
      </c>
      <c r="J5" s="1292">
        <f ca="1">J6+J10+J12</f>
        <v>0</v>
      </c>
      <c r="K5" s="1821" t="s">
        <v>1396</v>
      </c>
      <c r="L5" s="1293"/>
      <c r="M5" s="1294"/>
    </row>
    <row r="6" spans="1:37" ht="18" customHeight="1">
      <c r="A6" s="1291" t="s">
        <v>1031</v>
      </c>
      <c r="B6" s="3517" t="s">
        <v>1397</v>
      </c>
      <c r="C6" s="1296">
        <f ca="1">ROUND(F6*F8*F7*(1-F9)/10000,0)</f>
        <v>0</v>
      </c>
      <c r="D6" s="164" t="s">
        <v>3026</v>
      </c>
      <c r="E6" s="347" t="s">
        <v>1399</v>
      </c>
      <c r="F6" s="348">
        <f ca="1">INDIRECT("'数据-取费表'!u"&amp;$G$1)</f>
        <v>0</v>
      </c>
      <c r="G6" s="1850"/>
      <c r="H6" s="1291" t="s">
        <v>1031</v>
      </c>
      <c r="I6" s="3517" t="s">
        <v>1397</v>
      </c>
      <c r="J6" s="346">
        <f ca="1">ROUND(M6*M8*M7*(1-M9)/10000,0)</f>
        <v>0</v>
      </c>
      <c r="K6" s="164" t="s">
        <v>3025</v>
      </c>
      <c r="L6" s="347" t="s">
        <v>1399</v>
      </c>
      <c r="M6" s="348">
        <f ca="1">INDIRECT("'数据-取费表'!z"&amp;$G$1)</f>
        <v>0</v>
      </c>
    </row>
    <row r="7" spans="1:37" ht="18" customHeight="1">
      <c r="A7" s="1295"/>
      <c r="B7" s="3518"/>
      <c r="C7" s="1297"/>
      <c r="D7" s="352"/>
      <c r="E7" s="1298" t="s">
        <v>1400</v>
      </c>
      <c r="F7" s="348">
        <f ca="1">IF(INDIRECT("'数据-取费表'!ah"&amp;$G$1)="",INDIRECT("'数据-取费表'!k"&amp;$G$1),INDIRECT("'数据-取费表'!ah"&amp;$G$1))</f>
        <v>0</v>
      </c>
      <c r="G7" s="1850"/>
      <c r="H7" s="349"/>
      <c r="I7" s="3518"/>
      <c r="J7" s="351"/>
      <c r="K7" s="352"/>
      <c r="L7" s="347" t="s">
        <v>1400</v>
      </c>
      <c r="M7" s="348">
        <f ca="1">F7</f>
        <v>0</v>
      </c>
    </row>
    <row r="8" spans="1:37" ht="18" customHeight="1">
      <c r="A8" s="349"/>
      <c r="B8" s="3518"/>
      <c r="C8" s="351"/>
      <c r="D8" s="352"/>
      <c r="E8" s="347" t="s">
        <v>1401</v>
      </c>
      <c r="F8" s="348">
        <f ca="1">INDIRECT("'数据-取费表'!ai"&amp;$G$1)</f>
        <v>0</v>
      </c>
      <c r="G8" s="1850"/>
      <c r="H8" s="349"/>
      <c r="I8" s="3518"/>
      <c r="J8" s="351"/>
      <c r="K8" s="352"/>
      <c r="L8" s="347" t="s">
        <v>1401</v>
      </c>
      <c r="M8" s="348">
        <f ca="1">INDIRECT("'数据-取费表'!ai"&amp;$G$1)</f>
        <v>0</v>
      </c>
    </row>
    <row r="9" spans="1:37" ht="18" customHeight="1">
      <c r="A9" s="349"/>
      <c r="B9" s="3519"/>
      <c r="C9" s="351"/>
      <c r="D9" s="352"/>
      <c r="E9" s="347" t="s">
        <v>1402</v>
      </c>
      <c r="F9" s="357">
        <f ca="1">INDIRECT("'数据-取费表'!w"&amp;$G$1)</f>
        <v>0</v>
      </c>
      <c r="G9" s="1850"/>
      <c r="H9" s="349"/>
      <c r="I9" s="3519"/>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3035</v>
      </c>
      <c r="E10" s="358" t="s">
        <v>1404</v>
      </c>
      <c r="F10" s="1366"/>
      <c r="G10" s="1850"/>
      <c r="H10" s="1291" t="s">
        <v>1035</v>
      </c>
      <c r="I10" s="1822" t="s">
        <v>1403</v>
      </c>
      <c r="J10" s="346">
        <f ca="1">ROUND(IF(M10="押一",J6/12*M11,IF(M10="押二",J6/12*2*M11,IF(M10="押三",J6/12*3*M11,J11*M11))),0)</f>
        <v>0</v>
      </c>
      <c r="K10" s="1823" t="s">
        <v>3034</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0.01</v>
      </c>
      <c r="G20" s="1853"/>
      <c r="H20" s="1201" t="s">
        <v>1383</v>
      </c>
      <c r="I20" s="164" t="s">
        <v>1435</v>
      </c>
      <c r="J20" s="25">
        <f ca="1">ROUND(M20*M21/10000,2)</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1.4999999999999999E-2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5">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IF(项目基本情况!B11="自然人","——",ROUND(F34*F35/10000,2))</f>
        <v>0</v>
      </c>
      <c r="D34" s="370" t="s">
        <v>1436</v>
      </c>
      <c r="E34" s="347" t="s">
        <v>1437</v>
      </c>
      <c r="F34" s="371">
        <f>'数据-取费表'!B52</f>
        <v>0</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5"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6"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6" thickBot="1">
      <c r="A47" s="1165" t="s">
        <v>1390</v>
      </c>
      <c r="B47" s="1197" t="s">
        <v>1391</v>
      </c>
      <c r="C47" s="136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50"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6" thickBot="1">
      <c r="A49" s="1194" t="s">
        <v>1132</v>
      </c>
      <c r="B49" s="1828" t="s">
        <v>1484</v>
      </c>
      <c r="C49" s="1364">
        <f ca="1">ROUND(F49*F51*F50*(1-F52)/10000,0)</f>
        <v>0</v>
      </c>
      <c r="D49" s="1276" t="s">
        <v>3027</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5" thickBot="1">
      <c r="A50" s="1195"/>
      <c r="B50" s="1198"/>
      <c r="C50" s="1368"/>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6" thickBot="1">
      <c r="A52" s="1196"/>
      <c r="B52" s="1198"/>
      <c r="C52" s="1199"/>
      <c r="D52" s="1172"/>
      <c r="E52" s="1200" t="s">
        <v>1402</v>
      </c>
      <c r="F52" s="1275"/>
      <c r="I52" s="1902" t="s">
        <v>1537</v>
      </c>
      <c r="J52" s="1903"/>
      <c r="K52" s="1902" t="s">
        <v>1538</v>
      </c>
      <c r="L52" s="1903"/>
      <c r="O52" s="1893" t="s">
        <v>1041</v>
      </c>
      <c r="P52" s="1884" t="s">
        <v>1539</v>
      </c>
      <c r="Q52" s="1885">
        <f ca="1">J53</f>
        <v>-3</v>
      </c>
      <c r="R52" s="1885" t="s">
        <v>1540</v>
      </c>
    </row>
    <row r="53" spans="1:18" s="1841" customFormat="1" ht="31" thickBot="1">
      <c r="A53" s="1405" t="s">
        <v>1133</v>
      </c>
      <c r="B53" s="1830" t="s">
        <v>1403</v>
      </c>
      <c r="C53" s="361">
        <f ca="1">ROUND(IF(F53="押一",C49/12*F11,IF(F53="押二",C49/12*2*F11,IF(F53="押三",C49/12*3*F11,C54*F11))),0)</f>
        <v>0</v>
      </c>
      <c r="D53" s="1823" t="s">
        <v>3034</v>
      </c>
      <c r="E53" s="358" t="s">
        <v>1404</v>
      </c>
      <c r="F53" s="1366"/>
      <c r="I53" s="1904" t="s">
        <v>1541</v>
      </c>
      <c r="J53" s="2950">
        <f ca="1">IF(M47="住宅",IF(D1="——",MAX(J51,L48),MAX(J51,L48-'数据-取费表'!B24)),IF(D1="——",MIN(J51,L48),MIN(J51,L48-'数据-取费表'!B24)))</f>
        <v>-3</v>
      </c>
      <c r="K53" s="3515" t="s">
        <v>1542</v>
      </c>
      <c r="L53" s="3516"/>
      <c r="O53" s="1883" t="s">
        <v>1042</v>
      </c>
      <c r="P53" s="1884" t="s">
        <v>1543</v>
      </c>
      <c r="Q53" s="1885" t="e">
        <f ca="1">Q47+Q48</f>
        <v>#DIV/0!</v>
      </c>
      <c r="R53" s="1885" t="s">
        <v>1043</v>
      </c>
    </row>
    <row r="54" spans="1:18" s="1841" customFormat="1" ht="16"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6" thickBot="1">
      <c r="A55" s="1333" t="s">
        <v>1071</v>
      </c>
      <c r="B55" s="1826" t="s">
        <v>1407</v>
      </c>
      <c r="C55" s="1334"/>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32" thickTop="1" thickBot="1">
      <c r="A56" s="1176">
        <v>2</v>
      </c>
      <c r="B56" s="1177" t="s">
        <v>1408</v>
      </c>
      <c r="C56" s="276">
        <f ca="1">C13</f>
        <v>0</v>
      </c>
      <c r="D56" s="1912"/>
      <c r="E56" s="1913"/>
      <c r="F56" s="1905"/>
      <c r="I56" s="1914" t="s">
        <v>1548</v>
      </c>
      <c r="J56" s="1915"/>
      <c r="K56" s="1886" t="s">
        <v>1549</v>
      </c>
      <c r="L56" s="1889">
        <f ca="1">IF(L48&lt;J51,"——",L48-J53)</f>
        <v>3</v>
      </c>
      <c r="O56" s="1883" t="s">
        <v>1036</v>
      </c>
      <c r="P56" s="1884" t="s">
        <v>1522</v>
      </c>
      <c r="Q56" s="1885" t="e">
        <f ca="1">C40+J29</f>
        <v>#DIV/0!</v>
      </c>
      <c r="R56" s="1885" t="s">
        <v>1523</v>
      </c>
    </row>
    <row r="57" spans="1:18" s="1841" customFormat="1" ht="31"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31"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31"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6"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6" thickBot="1">
      <c r="A62" s="1201" t="s">
        <v>1489</v>
      </c>
      <c r="B62" s="1168" t="s">
        <v>1490</v>
      </c>
      <c r="C62" s="25">
        <f ca="1">IF(项目基本情况!B11="自然人","——",ROUND(F62*F63/10000,2))</f>
        <v>0</v>
      </c>
      <c r="D62" s="1184" t="s">
        <v>1491</v>
      </c>
      <c r="E62" s="1169" t="s">
        <v>1492</v>
      </c>
      <c r="F62" s="371">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6"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6"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7"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8"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6" thickBot="1">
      <c r="A69" s="1170"/>
      <c r="B69" s="1171"/>
      <c r="C69" s="351"/>
      <c r="D69" s="1189" t="s">
        <v>1467</v>
      </c>
      <c r="E69" s="1169" t="s">
        <v>1468</v>
      </c>
      <c r="F69" s="379">
        <f ca="1">F41</f>
        <v>0</v>
      </c>
      <c r="O69" s="1893" t="s">
        <v>1044</v>
      </c>
      <c r="P69" s="1932" t="s">
        <v>1578</v>
      </c>
      <c r="Q69" s="1885">
        <f ca="1">C39</f>
        <v>0</v>
      </c>
      <c r="R69" s="1885" t="s">
        <v>1523</v>
      </c>
    </row>
    <row r="70" spans="1:18" s="1841" customFormat="1" ht="16" thickBot="1">
      <c r="A70" s="1173"/>
      <c r="B70" s="1174"/>
      <c r="C70" s="355"/>
      <c r="D70" s="1185"/>
      <c r="E70" s="1169" t="s">
        <v>1471</v>
      </c>
      <c r="F70" s="1275"/>
      <c r="O70" s="1893" t="s">
        <v>1045</v>
      </c>
      <c r="P70" s="1932" t="s">
        <v>1579</v>
      </c>
      <c r="Q70" s="1885">
        <f ca="1">C13</f>
        <v>0</v>
      </c>
      <c r="R70" s="1885" t="s">
        <v>1523</v>
      </c>
    </row>
    <row r="71" spans="1:18" s="1841" customFormat="1" ht="1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5" thickBot="1">
      <c r="B72" s="796"/>
      <c r="C72" s="796"/>
      <c r="O72" s="1893" t="s">
        <v>1040</v>
      </c>
      <c r="P72" s="1884" t="s">
        <v>1558</v>
      </c>
      <c r="Q72" s="1896">
        <f>L52</f>
        <v>0</v>
      </c>
      <c r="R72" s="1885"/>
    </row>
    <row r="73" spans="1:18" ht="16" thickBot="1">
      <c r="A73" s="1841"/>
      <c r="B73" s="796"/>
      <c r="C73" s="796"/>
      <c r="D73" s="1841"/>
      <c r="E73" s="1841"/>
      <c r="F73" s="1841"/>
      <c r="O73" s="1893" t="s">
        <v>1041</v>
      </c>
      <c r="P73" s="1884" t="s">
        <v>1561</v>
      </c>
      <c r="Q73" s="1885" t="e">
        <f ca="1">L58</f>
        <v>#DIV/0!</v>
      </c>
      <c r="R73" s="1885" t="s">
        <v>1562</v>
      </c>
    </row>
    <row r="74" spans="1:18" ht="16"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ht="15">
      <c r="B76" s="388" t="s">
        <v>1501</v>
      </c>
      <c r="C76" s="389">
        <f ca="1">INDIRECT("'数据-取费表'!j"&amp;$G$1)</f>
        <v>0</v>
      </c>
      <c r="I76" s="1841"/>
      <c r="J76" s="1841"/>
      <c r="K76" s="1867"/>
      <c r="L76" s="1841"/>
    </row>
    <row r="77" spans="1:18" ht="14">
      <c r="B77" s="390" t="s">
        <v>1502</v>
      </c>
      <c r="C77" s="391"/>
      <c r="I77" s="1841"/>
      <c r="J77" s="1841"/>
      <c r="K77" s="1867"/>
      <c r="L77" s="1841"/>
    </row>
    <row r="78" spans="1:18" ht="14">
      <c r="B78" s="314" t="s">
        <v>1503</v>
      </c>
      <c r="C78" s="392"/>
    </row>
    <row r="79" spans="1:18" ht="14">
      <c r="B79" s="386" t="s">
        <v>1504</v>
      </c>
      <c r="C79" s="318" t="e">
        <f ca="1">1-C80</f>
        <v>#DIV/0!</v>
      </c>
    </row>
    <row r="80" spans="1:18" ht="14">
      <c r="B80" s="386" t="s">
        <v>1505</v>
      </c>
      <c r="C80" s="318" t="e">
        <f ca="1">ROUND(C75/C39,3)</f>
        <v>#DIV/0!</v>
      </c>
    </row>
    <row r="81" spans="2:3" ht="14">
      <c r="B81" s="314" t="s">
        <v>1506</v>
      </c>
      <c r="C81" s="282"/>
    </row>
    <row r="82" spans="2:3" ht="14">
      <c r="B82" s="317" t="s">
        <v>1507</v>
      </c>
      <c r="C82" s="319" t="e">
        <f ca="1">1-C83</f>
        <v>#DIV/0!</v>
      </c>
    </row>
    <row r="83" spans="2:3" ht="14">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topLeftCell="A22" zoomScale="70" zoomScaleNormal="70" zoomScaleSheetLayoutView="90" workbookViewId="0">
      <selection activeCell="J53" sqref="J53"/>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832031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33" customWidth="1"/>
    <col min="12" max="12" width="16.33203125" style="302" customWidth="1"/>
    <col min="13" max="13" width="13" style="302" customWidth="1"/>
    <col min="14" max="14" width="13.83203125" style="1841" customWidth="1"/>
    <col min="15" max="15" width="5.1640625" style="1841" customWidth="1"/>
    <col min="16" max="16" width="25.83203125" style="1841" customWidth="1"/>
    <col min="17" max="17" width="13.83203125" style="1841" customWidth="1"/>
    <col min="18" max="18" width="20.5" style="1841" customWidth="1"/>
    <col min="19" max="19" width="13.1640625" style="1841" customWidth="1"/>
    <col min="20" max="37" width="9" style="1841"/>
    <col min="38" max="16384" width="9" style="302"/>
  </cols>
  <sheetData>
    <row r="1" spans="1:37" s="337" customFormat="1" ht="20">
      <c r="A1" s="1832" t="s">
        <v>1583</v>
      </c>
      <c r="B1" s="782"/>
      <c r="C1" s="1836"/>
      <c r="D1" s="1819"/>
      <c r="E1" s="1820" t="s">
        <v>1381</v>
      </c>
      <c r="F1" s="1283">
        <f ca="1">J53</f>
        <v>-3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517" t="s">
        <v>1397</v>
      </c>
      <c r="C6" s="1296">
        <f ca="1">ROUND(F6*F8*F7*(1-F9),0)</f>
        <v>0</v>
      </c>
      <c r="D6" s="164" t="s">
        <v>3023</v>
      </c>
      <c r="E6" s="347" t="s">
        <v>1399</v>
      </c>
      <c r="F6" s="348">
        <f ca="1">INDIRECT("'数据-取费表'!u"&amp;$G$1)</f>
        <v>0</v>
      </c>
      <c r="G6" s="1850"/>
      <c r="H6" s="1291" t="s">
        <v>1031</v>
      </c>
      <c r="I6" s="3517" t="s">
        <v>1397</v>
      </c>
      <c r="J6" s="346">
        <f ca="1">ROUND(M6*M8*M7*(1-M9),0)</f>
        <v>0</v>
      </c>
      <c r="K6" s="1833" t="s">
        <v>3024</v>
      </c>
      <c r="L6" s="347" t="s">
        <v>1399</v>
      </c>
      <c r="M6" s="348">
        <f ca="1">INDIRECT("'数据-取费表'!z"&amp;$G$1)</f>
        <v>0</v>
      </c>
    </row>
    <row r="7" spans="1:37" ht="18" customHeight="1">
      <c r="A7" s="1295"/>
      <c r="B7" s="3518"/>
      <c r="C7" s="1297"/>
      <c r="D7" s="352"/>
      <c r="E7" s="1298" t="s">
        <v>1400</v>
      </c>
      <c r="F7" s="348">
        <f ca="1">IF(INDIRECT("'数据-取费表'!ah"&amp;$G$1)="",INDIRECT("'数据-取费表'!k"&amp;$G$1),INDIRECT("'数据-取费表'!ah"&amp;$G$1))</f>
        <v>0</v>
      </c>
      <c r="G7" s="1850"/>
      <c r="H7" s="349"/>
      <c r="I7" s="3518"/>
      <c r="J7" s="351"/>
      <c r="K7" s="352"/>
      <c r="L7" s="347" t="s">
        <v>1400</v>
      </c>
      <c r="M7" s="348">
        <f ca="1">F7</f>
        <v>0</v>
      </c>
    </row>
    <row r="8" spans="1:37" ht="18" customHeight="1">
      <c r="A8" s="349"/>
      <c r="B8" s="3518"/>
      <c r="C8" s="351"/>
      <c r="D8" s="352"/>
      <c r="E8" s="347" t="s">
        <v>1401</v>
      </c>
      <c r="F8" s="348">
        <f ca="1">INDIRECT("'数据-取费表'!ai"&amp;$G$1)</f>
        <v>0</v>
      </c>
      <c r="G8" s="1850"/>
      <c r="H8" s="349"/>
      <c r="I8" s="3518"/>
      <c r="J8" s="351"/>
      <c r="K8" s="352"/>
      <c r="L8" s="347" t="s">
        <v>1401</v>
      </c>
      <c r="M8" s="348">
        <f ca="1">INDIRECT("'数据-取费表'!ai"&amp;$G$1)</f>
        <v>0</v>
      </c>
    </row>
    <row r="9" spans="1:37" ht="18" customHeight="1">
      <c r="A9" s="349"/>
      <c r="B9" s="3519"/>
      <c r="C9" s="351"/>
      <c r="D9" s="352"/>
      <c r="E9" s="347" t="s">
        <v>1402</v>
      </c>
      <c r="F9" s="357">
        <f ca="1">INDIRECT("'数据-取费表'!w"&amp;$G$1)</f>
        <v>0</v>
      </c>
      <c r="G9" s="1850"/>
      <c r="H9" s="349"/>
      <c r="I9" s="3519"/>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3034</v>
      </c>
      <c r="E10" s="358" t="s">
        <v>1404</v>
      </c>
      <c r="F10" s="1366"/>
      <c r="G10" s="1850"/>
      <c r="H10" s="1291" t="s">
        <v>1035</v>
      </c>
      <c r="I10" s="1822" t="s">
        <v>1403</v>
      </c>
      <c r="J10" s="346">
        <f ca="1">ROUND(IF(M10="押一",J6/12*M11,IF(M10="押二",J6/12*2*M11,IF(M10="押三",J6/12*3*M11,J11*M11))),0)</f>
        <v>0</v>
      </c>
      <c r="K10" s="1834" t="s">
        <v>3036</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0.01</v>
      </c>
      <c r="G20" s="1853"/>
      <c r="H20" s="1201" t="s">
        <v>1383</v>
      </c>
      <c r="I20" s="164" t="s">
        <v>1435</v>
      </c>
      <c r="J20" s="25">
        <f ca="1">ROUND(M20*M21,0)</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1.4999999999999999E-2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0</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5"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6"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6"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50"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6"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6" thickBot="1">
      <c r="A52" s="1196"/>
      <c r="B52" s="1198"/>
      <c r="C52" s="1199"/>
      <c r="D52" s="1172"/>
      <c r="E52" s="1200" t="s">
        <v>1402</v>
      </c>
      <c r="F52" s="1275"/>
      <c r="I52" s="1902" t="s">
        <v>1537</v>
      </c>
      <c r="J52" s="1903"/>
      <c r="K52" s="1902" t="s">
        <v>1538</v>
      </c>
      <c r="L52" s="1903"/>
      <c r="O52" s="1893" t="s">
        <v>1041</v>
      </c>
      <c r="P52" s="1884" t="s">
        <v>1539</v>
      </c>
      <c r="Q52" s="1885">
        <f ca="1">J53</f>
        <v>-3</v>
      </c>
      <c r="R52" s="1885" t="s">
        <v>1540</v>
      </c>
    </row>
    <row r="53" spans="1:18" s="1841" customFormat="1" ht="30.75" customHeight="1" thickBot="1">
      <c r="A53" s="1361" t="s">
        <v>1133</v>
      </c>
      <c r="B53" s="369"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-3</v>
      </c>
      <c r="K53" s="3515" t="s">
        <v>1542</v>
      </c>
      <c r="L53" s="3516"/>
      <c r="O53" s="1883" t="s">
        <v>1042</v>
      </c>
      <c r="P53" s="1884" t="s">
        <v>1543</v>
      </c>
      <c r="Q53" s="1885" t="e">
        <f ca="1">Q47+Q48</f>
        <v>#DIV/0!</v>
      </c>
      <c r="R53" s="1885" t="s">
        <v>1043</v>
      </c>
    </row>
    <row r="54" spans="1:18" s="1841" customFormat="1" ht="16"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6"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31"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31"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31"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6"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6" thickBot="1">
      <c r="A62" s="1201" t="s">
        <v>1489</v>
      </c>
      <c r="B62" s="1168" t="s">
        <v>1490</v>
      </c>
      <c r="C62" s="25">
        <f ca="1">IF(项目基本情况!B11="自然人","——",ROUND(F62*F63,0))</f>
        <v>0</v>
      </c>
      <c r="D62" s="1184" t="s">
        <v>1491</v>
      </c>
      <c r="E62" s="1169" t="s">
        <v>1492</v>
      </c>
      <c r="F62" s="371">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6"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6"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7"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8"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6" thickBot="1">
      <c r="A69" s="1170"/>
      <c r="B69" s="1171"/>
      <c r="C69" s="351"/>
      <c r="D69" s="1189" t="s">
        <v>1467</v>
      </c>
      <c r="E69" s="1169" t="s">
        <v>1468</v>
      </c>
      <c r="F69" s="379">
        <f ca="1">F41</f>
        <v>0</v>
      </c>
      <c r="O69" s="1893" t="s">
        <v>1044</v>
      </c>
      <c r="P69" s="1932" t="s">
        <v>1578</v>
      </c>
      <c r="Q69" s="1885">
        <f ca="1">C39</f>
        <v>0</v>
      </c>
      <c r="R69" s="1885" t="s">
        <v>1523</v>
      </c>
    </row>
    <row r="70" spans="1:18" s="1841" customFormat="1" ht="16" thickBot="1">
      <c r="A70" s="1173"/>
      <c r="B70" s="1174"/>
      <c r="C70" s="355"/>
      <c r="D70" s="1185"/>
      <c r="E70" s="1169" t="s">
        <v>1471</v>
      </c>
      <c r="F70" s="1275">
        <f ca="1">F42</f>
        <v>0</v>
      </c>
      <c r="O70" s="1893" t="s">
        <v>1045</v>
      </c>
      <c r="P70" s="1932" t="s">
        <v>1579</v>
      </c>
      <c r="Q70" s="1885">
        <f ca="1">C13</f>
        <v>0</v>
      </c>
      <c r="R70" s="1885" t="s">
        <v>1523</v>
      </c>
    </row>
    <row r="71" spans="1:18" s="1841" customFormat="1" ht="1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5" thickBot="1">
      <c r="B72" s="796"/>
      <c r="C72" s="796"/>
      <c r="O72" s="1893" t="s">
        <v>1040</v>
      </c>
      <c r="P72" s="1884" t="s">
        <v>1558</v>
      </c>
      <c r="Q72" s="1896">
        <f>L52</f>
        <v>0</v>
      </c>
      <c r="R72" s="1885"/>
    </row>
    <row r="73" spans="1:18" ht="16" thickBot="1">
      <c r="A73" s="1841"/>
      <c r="B73" s="796"/>
      <c r="C73" s="796"/>
      <c r="D73" s="1841"/>
      <c r="E73" s="1841"/>
      <c r="F73" s="1841"/>
      <c r="O73" s="1893" t="s">
        <v>1041</v>
      </c>
      <c r="P73" s="1884" t="s">
        <v>1561</v>
      </c>
      <c r="Q73" s="1885" t="e">
        <f ca="1">L58</f>
        <v>#DIV/0!</v>
      </c>
      <c r="R73" s="1885" t="s">
        <v>1562</v>
      </c>
    </row>
    <row r="74" spans="1:18" ht="16"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ht="15">
      <c r="B76" s="388" t="s">
        <v>1501</v>
      </c>
      <c r="C76" s="389">
        <f ca="1">INDIRECT("'数据-取费表'!j"&amp;$G$1)</f>
        <v>0</v>
      </c>
      <c r="I76" s="1841"/>
      <c r="J76" s="1841"/>
      <c r="K76" s="1867"/>
      <c r="L76" s="1841"/>
    </row>
    <row r="77" spans="1:18" ht="14">
      <c r="B77" s="390" t="s">
        <v>1502</v>
      </c>
      <c r="C77" s="391"/>
      <c r="I77" s="1841"/>
      <c r="J77" s="1841"/>
      <c r="K77" s="1867"/>
      <c r="L77" s="1841"/>
    </row>
    <row r="78" spans="1:18" ht="14">
      <c r="B78" s="314" t="s">
        <v>1503</v>
      </c>
      <c r="C78" s="392"/>
    </row>
    <row r="79" spans="1:18" ht="14">
      <c r="B79" s="386" t="s">
        <v>1504</v>
      </c>
      <c r="C79" s="318" t="e">
        <f ca="1">1-C80</f>
        <v>#DIV/0!</v>
      </c>
    </row>
    <row r="80" spans="1:18" ht="14">
      <c r="B80" s="386" t="s">
        <v>1505</v>
      </c>
      <c r="C80" s="318" t="e">
        <f ca="1">ROUND(C75/C39,3)</f>
        <v>#DIV/0!</v>
      </c>
    </row>
    <row r="81" spans="2:3" ht="14">
      <c r="B81" s="314" t="s">
        <v>1506</v>
      </c>
      <c r="C81" s="282"/>
    </row>
    <row r="82" spans="2:3" ht="14">
      <c r="B82" s="317" t="s">
        <v>1507</v>
      </c>
      <c r="C82" s="319" t="e">
        <f ca="1">1-C83</f>
        <v>#DIV/0!</v>
      </c>
    </row>
    <row r="83" spans="2:3" ht="14">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xr:uid="{00000000-0002-0000-2300-000000000000}">
      <formula1>"比较法,基准地价,收益还原"</formula1>
    </dataValidation>
    <dataValidation type="list" allowBlank="1" showInputMessage="1" showErrorMessage="1" sqref="J56" xr:uid="{00000000-0002-0000-2300-000001000000}">
      <formula1>判定</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C1" xr:uid="{00000000-0002-0000-2300-000004000000}">
      <formula1>项目类型</formula1>
    </dataValidation>
    <dataValidation type="list" allowBlank="1" showInputMessage="1" showErrorMessage="1" sqref="D33 D61"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F10 F53 M10"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F13"/>
  <sheetViews>
    <sheetView workbookViewId="0">
      <selection sqref="A1:XFD1048576"/>
    </sheetView>
  </sheetViews>
  <sheetFormatPr baseColWidth="10" defaultColWidth="9" defaultRowHeight="14"/>
  <cols>
    <col min="1" max="1" width="23.6640625" style="1943" customWidth="1"/>
    <col min="2" max="2" width="12" style="1943" customWidth="1"/>
    <col min="3" max="3" width="9" style="1943"/>
    <col min="4" max="4" width="14.1640625" style="1943" customWidth="1"/>
    <col min="5" max="5" width="9" style="1943"/>
    <col min="6" max="6" width="12.83203125" style="1943" customWidth="1"/>
    <col min="7" max="16384" width="9" style="1943"/>
  </cols>
  <sheetData>
    <row r="1" spans="1:6" ht="20">
      <c r="A1" s="2561" t="s">
        <v>2520</v>
      </c>
      <c r="B1" s="2562"/>
      <c r="C1" s="2562"/>
      <c r="D1" s="2562"/>
      <c r="E1" s="2563"/>
    </row>
    <row r="2" spans="1:6" ht="16">
      <c r="A2" s="2564" t="s">
        <v>2324</v>
      </c>
      <c r="B2" s="2565">
        <f ca="1">SUMIF(B6:B13,"&lt;&gt;#ref!",B6:B13)</f>
        <v>0</v>
      </c>
      <c r="C2" s="2566" t="s">
        <v>2513</v>
      </c>
      <c r="D2" s="2567" t="s">
        <v>2514</v>
      </c>
      <c r="E2" s="2568">
        <f>SUM(E6:E13)</f>
        <v>0</v>
      </c>
    </row>
    <row r="3" spans="1:6" ht="16">
      <c r="A3" s="2564" t="s">
        <v>1389</v>
      </c>
      <c r="B3" s="2565" t="e">
        <f ca="1">ROUND(B2*10000/E2,0)</f>
        <v>#DIV/0!</v>
      </c>
      <c r="C3" s="2566" t="s">
        <v>2521</v>
      </c>
      <c r="D3" s="2569"/>
      <c r="E3" s="2570"/>
    </row>
    <row r="4" spans="1:6" ht="16">
      <c r="A4" s="2571"/>
      <c r="B4" s="2569"/>
      <c r="C4" s="2569"/>
      <c r="D4" s="2569"/>
      <c r="E4" s="2570"/>
    </row>
    <row r="5" spans="1:6">
      <c r="A5" s="2572" t="s">
        <v>2515</v>
      </c>
      <c r="B5" s="3520" t="s">
        <v>2516</v>
      </c>
      <c r="C5" s="3520"/>
      <c r="D5" s="2573"/>
      <c r="E5" s="2574" t="s">
        <v>2517</v>
      </c>
      <c r="F5" s="2575" t="s">
        <v>2518</v>
      </c>
    </row>
    <row r="6" spans="1:6">
      <c r="A6" s="2576">
        <f>'数据-取费表'!AN6</f>
        <v>0</v>
      </c>
      <c r="B6" s="2575" t="e">
        <f ca="1">IF(F6="是",'数据-取费表'!AO6,0)</f>
        <v>#REF!</v>
      </c>
      <c r="C6" s="2566" t="s">
        <v>2513</v>
      </c>
      <c r="D6" s="2569"/>
      <c r="E6" s="2577">
        <f>IF(OR(A6=0,F6="否"),0,'数据-取费表'!K6+'数据-取费表'!S6)</f>
        <v>0</v>
      </c>
      <c r="F6" s="2578" t="s">
        <v>2519</v>
      </c>
    </row>
    <row r="7" spans="1:6">
      <c r="A7" s="2576">
        <f>'数据-取费表'!AN7</f>
        <v>0</v>
      </c>
      <c r="B7" s="2575" t="e">
        <f ca="1">IF(F7="是",'数据-取费表'!AO7,0)</f>
        <v>#REF!</v>
      </c>
      <c r="C7" s="2566" t="s">
        <v>2513</v>
      </c>
      <c r="D7" s="2569"/>
      <c r="E7" s="2577">
        <f>IF(OR(A7=0,F7="否"),0,'数据-取费表'!K7+'数据-取费表'!S7)</f>
        <v>0</v>
      </c>
      <c r="F7" s="2578" t="s">
        <v>2519</v>
      </c>
    </row>
    <row r="8" spans="1:6">
      <c r="A8" s="2576">
        <f>'数据-取费表'!AN8</f>
        <v>0</v>
      </c>
      <c r="B8" s="2575" t="e">
        <f ca="1">IF(F8="是",'数据-取费表'!AO8,0)</f>
        <v>#REF!</v>
      </c>
      <c r="C8" s="2566" t="s">
        <v>2513</v>
      </c>
      <c r="D8" s="2569"/>
      <c r="E8" s="2577">
        <f>IF(OR(A8=0,F8="否"),0,'数据-取费表'!K8+'数据-取费表'!S8)</f>
        <v>0</v>
      </c>
      <c r="F8" s="2578" t="s">
        <v>2519</v>
      </c>
    </row>
    <row r="9" spans="1:6">
      <c r="A9" s="2576">
        <f>'数据-取费表'!AN9</f>
        <v>0</v>
      </c>
      <c r="B9" s="2575" t="e">
        <f ca="1">IF(F9="是",'数据-取费表'!AO9,0)</f>
        <v>#REF!</v>
      </c>
      <c r="C9" s="2566" t="s">
        <v>2513</v>
      </c>
      <c r="D9" s="2569"/>
      <c r="E9" s="2577">
        <f>IF(OR(A9=0,F9="否"),0,'数据-取费表'!K9+'数据-取费表'!S9)</f>
        <v>0</v>
      </c>
      <c r="F9" s="2578" t="s">
        <v>2519</v>
      </c>
    </row>
    <row r="10" spans="1:6">
      <c r="A10" s="2576">
        <f>'数据-取费表'!AN10</f>
        <v>0</v>
      </c>
      <c r="B10" s="2575" t="e">
        <f ca="1">IF(F10="是",'数据-取费表'!AO10,0)</f>
        <v>#REF!</v>
      </c>
      <c r="C10" s="2566" t="s">
        <v>2513</v>
      </c>
      <c r="D10" s="2569"/>
      <c r="E10" s="2577">
        <f>IF(OR(A10=0,F10="否"),0,'数据-取费表'!K10+'数据-取费表'!S10)</f>
        <v>0</v>
      </c>
      <c r="F10" s="2578" t="s">
        <v>2519</v>
      </c>
    </row>
    <row r="11" spans="1:6">
      <c r="A11" s="2576">
        <f>'数据-取费表'!AN11</f>
        <v>0</v>
      </c>
      <c r="B11" s="2575" t="e">
        <f ca="1">IF(F11="是",'数据-取费表'!AO11,0)</f>
        <v>#REF!</v>
      </c>
      <c r="C11" s="2566" t="s">
        <v>2513</v>
      </c>
      <c r="D11" s="2569"/>
      <c r="E11" s="2577">
        <f>IF(OR(A11=0,F11="否"),0,'数据-取费表'!K11+'数据-取费表'!S11)</f>
        <v>0</v>
      </c>
      <c r="F11" s="2578" t="s">
        <v>2519</v>
      </c>
    </row>
    <row r="12" spans="1:6">
      <c r="A12" s="2576">
        <f>'数据-取费表'!AN12</f>
        <v>0</v>
      </c>
      <c r="B12" s="2575" t="e">
        <f ca="1">IF(F12="是",'数据-取费表'!AO12,0)</f>
        <v>#REF!</v>
      </c>
      <c r="C12" s="2566" t="s">
        <v>2513</v>
      </c>
      <c r="D12" s="2569"/>
      <c r="E12" s="2577">
        <f>IF(OR(A12=0,F12="否"),0,'数据-取费表'!K12+'数据-取费表'!S12)</f>
        <v>0</v>
      </c>
      <c r="F12" s="2578" t="s">
        <v>2519</v>
      </c>
    </row>
    <row r="13" spans="1:6" ht="15" thickBot="1">
      <c r="A13" s="2579">
        <f>'数据-取费表'!AN13</f>
        <v>0</v>
      </c>
      <c r="B13" s="2575" t="e">
        <f ca="1">IF(F13="是",'数据-取费表'!AO13,0)</f>
        <v>#REF!</v>
      </c>
      <c r="C13" s="2580" t="s">
        <v>2513</v>
      </c>
      <c r="D13" s="2581"/>
      <c r="E13" s="2577">
        <f>IF(OR(A13=0,F13="否"),0,'数据-取费表'!K13+'数据-取费表'!S13)</f>
        <v>0</v>
      </c>
      <c r="F13" s="2578" t="s">
        <v>2519</v>
      </c>
    </row>
  </sheetData>
  <sheetProtection password="C66D" sheet="1" objects="1" scenarios="1" formatCells="0"/>
  <mergeCells count="1">
    <mergeCell ref="B5:C5"/>
  </mergeCells>
  <phoneticPr fontId="142" type="noConversion"/>
  <dataValidations count="1">
    <dataValidation type="list" allowBlank="1" showInputMessage="1" showErrorMessage="1" sqref="F6:F13" xr:uid="{00000000-0002-0000-2400-000000000000}">
      <formula1>判定</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workbookViewId="0">
      <selection sqref="A1:XFD1048576"/>
    </sheetView>
  </sheetViews>
  <sheetFormatPr baseColWidth="10" defaultColWidth="8.83203125" defaultRowHeight="14"/>
  <cols>
    <col min="1" max="1" width="10.5" customWidth="1"/>
    <col min="2" max="2" width="12.83203125" customWidth="1"/>
    <col min="3" max="3" width="8.83203125" customWidth="1"/>
  </cols>
  <sheetData>
    <row r="1" spans="1:9" ht="15">
      <c r="A1" s="3521" t="s">
        <v>1072</v>
      </c>
      <c r="B1" s="3522"/>
      <c r="C1" s="3523"/>
      <c r="D1" s="3524">
        <f>SUM(I10,I15,I20,I21,I23)</f>
        <v>0</v>
      </c>
      <c r="E1" s="3524"/>
      <c r="F1" s="3524"/>
      <c r="G1" s="3524"/>
      <c r="H1" s="3524"/>
      <c r="I1" s="3525"/>
    </row>
    <row r="2" spans="1:9">
      <c r="A2" s="3526" t="s">
        <v>1073</v>
      </c>
      <c r="B2" s="3527" t="s">
        <v>1074</v>
      </c>
      <c r="C2" s="3527"/>
      <c r="D2" s="1301" t="s">
        <v>1075</v>
      </c>
      <c r="E2" s="1301" t="s">
        <v>1076</v>
      </c>
      <c r="F2" s="1301" t="s">
        <v>1077</v>
      </c>
      <c r="G2" s="1301" t="s">
        <v>1078</v>
      </c>
      <c r="H2" s="1301" t="s">
        <v>1079</v>
      </c>
      <c r="I2" s="1302" t="s">
        <v>1080</v>
      </c>
    </row>
    <row r="3" spans="1:9">
      <c r="A3" s="3526"/>
      <c r="B3" s="3527" t="s">
        <v>1081</v>
      </c>
      <c r="C3" s="3527"/>
      <c r="D3" s="1303"/>
      <c r="E3" s="1301"/>
      <c r="F3" s="1304"/>
      <c r="G3" s="1304"/>
      <c r="H3" s="1305"/>
      <c r="I3" s="1306">
        <f>ROUND(D3*E3*F3*G3*H3/10000,0)</f>
        <v>0</v>
      </c>
    </row>
    <row r="4" spans="1:9">
      <c r="A4" s="3526"/>
      <c r="B4" s="3527" t="s">
        <v>1082</v>
      </c>
      <c r="C4" s="3527"/>
      <c r="D4" s="1303"/>
      <c r="E4" s="1301"/>
      <c r="F4" s="1304"/>
      <c r="G4" s="1304"/>
      <c r="H4" s="1305"/>
      <c r="I4" s="1306">
        <f t="shared" ref="I4:I9" si="0">ROUND(D4*E4*F4*G4*H4/10000,0)</f>
        <v>0</v>
      </c>
    </row>
    <row r="5" spans="1:9">
      <c r="A5" s="3526"/>
      <c r="B5" s="3527" t="s">
        <v>1083</v>
      </c>
      <c r="C5" s="3527"/>
      <c r="D5" s="1303"/>
      <c r="E5" s="1301"/>
      <c r="F5" s="1304"/>
      <c r="G5" s="1304"/>
      <c r="H5" s="1305"/>
      <c r="I5" s="1306">
        <f t="shared" si="0"/>
        <v>0</v>
      </c>
    </row>
    <row r="6" spans="1:9">
      <c r="A6" s="3526"/>
      <c r="B6" s="3527" t="s">
        <v>1084</v>
      </c>
      <c r="C6" s="3527"/>
      <c r="D6" s="1303"/>
      <c r="E6" s="1301"/>
      <c r="F6" s="1304"/>
      <c r="G6" s="1304"/>
      <c r="H6" s="1305"/>
      <c r="I6" s="1306">
        <f t="shared" si="0"/>
        <v>0</v>
      </c>
    </row>
    <row r="7" spans="1:9">
      <c r="A7" s="3526"/>
      <c r="B7" s="3527" t="s">
        <v>1085</v>
      </c>
      <c r="C7" s="3527"/>
      <c r="D7" s="1303"/>
      <c r="E7" s="1301"/>
      <c r="F7" s="1304"/>
      <c r="G7" s="1304"/>
      <c r="H7" s="1305"/>
      <c r="I7" s="1306">
        <f t="shared" si="0"/>
        <v>0</v>
      </c>
    </row>
    <row r="8" spans="1:9">
      <c r="A8" s="3526"/>
      <c r="B8" s="3527" t="s">
        <v>1086</v>
      </c>
      <c r="C8" s="3527"/>
      <c r="D8" s="1303"/>
      <c r="E8" s="1301"/>
      <c r="F8" s="1304"/>
      <c r="G8" s="1304"/>
      <c r="H8" s="1305"/>
      <c r="I8" s="1306">
        <f t="shared" si="0"/>
        <v>0</v>
      </c>
    </row>
    <row r="9" spans="1:9">
      <c r="A9" s="3526"/>
      <c r="B9" s="3527" t="s">
        <v>1087</v>
      </c>
      <c r="C9" s="3527"/>
      <c r="D9" s="1303"/>
      <c r="E9" s="1301"/>
      <c r="F9" s="1304"/>
      <c r="G9" s="1304"/>
      <c r="H9" s="1305"/>
      <c r="I9" s="1306">
        <f t="shared" si="0"/>
        <v>0</v>
      </c>
    </row>
    <row r="10" spans="1:9">
      <c r="A10" s="3526"/>
      <c r="B10" s="3528" t="s">
        <v>1088</v>
      </c>
      <c r="C10" s="3528"/>
      <c r="D10" s="1307"/>
      <c r="E10" s="1307" t="e">
        <f>ROUND(D1*10000/D10/H9,0)</f>
        <v>#DIV/0!</v>
      </c>
      <c r="F10" s="1308"/>
      <c r="G10" s="1308"/>
      <c r="H10" s="1309"/>
      <c r="I10" s="1310">
        <f>SUM(I3:I9)</f>
        <v>0</v>
      </c>
    </row>
    <row r="11" spans="1:9" ht="15">
      <c r="A11" s="3526" t="s">
        <v>1089</v>
      </c>
      <c r="B11" s="3527" t="s">
        <v>1090</v>
      </c>
      <c r="C11" s="3527"/>
      <c r="D11" s="1303" t="s">
        <v>1091</v>
      </c>
      <c r="E11" s="1303" t="s">
        <v>1092</v>
      </c>
      <c r="F11" s="1304" t="s">
        <v>1093</v>
      </c>
      <c r="G11" s="1304" t="s">
        <v>1079</v>
      </c>
      <c r="H11" s="1311" t="s">
        <v>1094</v>
      </c>
      <c r="I11" s="1302" t="s">
        <v>1080</v>
      </c>
    </row>
    <row r="12" spans="1:9">
      <c r="A12" s="3526"/>
      <c r="B12" s="3527" t="s">
        <v>1095</v>
      </c>
      <c r="C12" s="3527"/>
      <c r="D12" s="1303"/>
      <c r="E12" s="1303"/>
      <c r="F12" s="1304"/>
      <c r="G12" s="1305"/>
      <c r="H12" s="1312"/>
      <c r="I12" s="1302">
        <f>ROUND(D12*E12*F12*G12/10000,0)</f>
        <v>0</v>
      </c>
    </row>
    <row r="13" spans="1:9">
      <c r="A13" s="3526"/>
      <c r="B13" s="3527" t="s">
        <v>1096</v>
      </c>
      <c r="C13" s="3527"/>
      <c r="D13" s="1303"/>
      <c r="E13" s="1303"/>
      <c r="F13" s="1304"/>
      <c r="G13" s="1305"/>
      <c r="H13" s="1312"/>
      <c r="I13" s="1302">
        <f>ROUND(D13*E13*F13*G13/10000,0)</f>
        <v>0</v>
      </c>
    </row>
    <row r="14" spans="1:9">
      <c r="A14" s="3526"/>
      <c r="B14" s="3527" t="s">
        <v>1097</v>
      </c>
      <c r="C14" s="3527"/>
      <c r="D14" s="1303"/>
      <c r="E14" s="1303"/>
      <c r="F14" s="1304"/>
      <c r="G14" s="1305"/>
      <c r="H14" s="1312"/>
      <c r="I14" s="1302">
        <f>ROUND(D14*E14*F14*G14/10000,0)</f>
        <v>0</v>
      </c>
    </row>
    <row r="15" spans="1:9">
      <c r="A15" s="3526"/>
      <c r="B15" s="3528" t="s">
        <v>1088</v>
      </c>
      <c r="C15" s="3528"/>
      <c r="D15" s="1307"/>
      <c r="E15" s="1307">
        <f>SUM(E12:E14)</f>
        <v>0</v>
      </c>
      <c r="F15" s="1308"/>
      <c r="G15" s="1305"/>
      <c r="H15" s="1312"/>
      <c r="I15" s="1313">
        <f>SUM(I12:I14)</f>
        <v>0</v>
      </c>
    </row>
    <row r="16" spans="1:9" ht="30">
      <c r="A16" s="3526" t="s">
        <v>1098</v>
      </c>
      <c r="B16" s="3527" t="s">
        <v>1099</v>
      </c>
      <c r="C16" s="3527"/>
      <c r="D16" s="1303" t="s">
        <v>1075</v>
      </c>
      <c r="E16" s="1314" t="s">
        <v>1100</v>
      </c>
      <c r="F16" s="1304" t="s">
        <v>1101</v>
      </c>
      <c r="G16" s="1305" t="s">
        <v>1079</v>
      </c>
      <c r="H16" s="1311" t="s">
        <v>1094</v>
      </c>
      <c r="I16" s="1302" t="s">
        <v>1080</v>
      </c>
    </row>
    <row r="17" spans="1:9" ht="15">
      <c r="A17" s="3526"/>
      <c r="B17" s="3527" t="s">
        <v>1102</v>
      </c>
      <c r="C17" s="3527"/>
      <c r="D17" s="1303"/>
      <c r="E17" s="1303"/>
      <c r="F17" s="1304"/>
      <c r="G17" s="1305"/>
      <c r="H17" s="1315"/>
      <c r="I17" s="1316">
        <f>ROUND(D17*E17*F17*G17/10000,0)</f>
        <v>0</v>
      </c>
    </row>
    <row r="18" spans="1:9" ht="15">
      <c r="A18" s="3526"/>
      <c r="B18" s="3527" t="s">
        <v>1103</v>
      </c>
      <c r="C18" s="3527"/>
      <c r="D18" s="1303"/>
      <c r="E18" s="1303"/>
      <c r="F18" s="1304"/>
      <c r="G18" s="1305"/>
      <c r="H18" s="1315"/>
      <c r="I18" s="1316">
        <f>ROUND(D18*E18*F18*G18/10000,0)</f>
        <v>0</v>
      </c>
    </row>
    <row r="19" spans="1:9" ht="15">
      <c r="A19" s="3526"/>
      <c r="B19" s="3527" t="s">
        <v>1104</v>
      </c>
      <c r="C19" s="3527"/>
      <c r="D19" s="1303"/>
      <c r="E19" s="1303"/>
      <c r="F19" s="1304"/>
      <c r="G19" s="1305"/>
      <c r="H19" s="1315"/>
      <c r="I19" s="1316">
        <f>ROUND(D19*E19*F19*G19/10000,0)</f>
        <v>0</v>
      </c>
    </row>
    <row r="20" spans="1:9">
      <c r="A20" s="3526"/>
      <c r="B20" s="3528" t="s">
        <v>1088</v>
      </c>
      <c r="C20" s="3528"/>
      <c r="D20" s="1307">
        <f>SUM(D17:D19)</f>
        <v>0</v>
      </c>
      <c r="E20" s="1307"/>
      <c r="F20" s="1308"/>
      <c r="G20" s="1305"/>
      <c r="H20" s="1312"/>
      <c r="I20" s="1313">
        <f>SUM(I17:I19)</f>
        <v>0</v>
      </c>
    </row>
    <row r="21" spans="1:9">
      <c r="A21" s="3526" t="s">
        <v>1105</v>
      </c>
      <c r="B21" s="3530"/>
      <c r="C21" s="3530"/>
      <c r="D21" s="3530"/>
      <c r="E21" s="3530"/>
      <c r="F21" s="3530"/>
      <c r="G21" s="3530"/>
      <c r="H21" s="1764">
        <v>0.1</v>
      </c>
      <c r="I21" s="1310">
        <f>ROUND(I10*H21,0)</f>
        <v>0</v>
      </c>
    </row>
    <row r="22" spans="1:9" ht="15">
      <c r="A22" s="3531" t="s">
        <v>1106</v>
      </c>
      <c r="B22" s="3532"/>
      <c r="C22" s="3533"/>
      <c r="D22" s="1317" t="s">
        <v>1107</v>
      </c>
      <c r="E22" s="1317" t="s">
        <v>1108</v>
      </c>
      <c r="F22" s="1318" t="s">
        <v>1109</v>
      </c>
      <c r="G22" s="1318" t="s">
        <v>1110</v>
      </c>
      <c r="H22" s="1311" t="s">
        <v>1111</v>
      </c>
      <c r="I22" s="1302" t="s">
        <v>1112</v>
      </c>
    </row>
    <row r="23" spans="1:9" ht="15" thickBot="1">
      <c r="A23" s="3534"/>
      <c r="B23" s="3535"/>
      <c r="C23" s="3536"/>
      <c r="D23" s="1319"/>
      <c r="E23" s="1319"/>
      <c r="F23" s="1319"/>
      <c r="G23" s="1320"/>
      <c r="H23" s="1321"/>
      <c r="I23" s="1322">
        <f>ROUND(E23*D23*F23*(1-G23)/10000,0)</f>
        <v>0</v>
      </c>
    </row>
    <row r="26" spans="1:9">
      <c r="A26" s="1323" t="s">
        <v>1113</v>
      </c>
      <c r="B26" s="1323"/>
      <c r="C26" s="1323"/>
      <c r="D26" s="1323"/>
      <c r="E26" s="3537">
        <f>C27-C30-C31-C32</f>
        <v>0</v>
      </c>
      <c r="F26" s="3537"/>
      <c r="G26" s="3537"/>
      <c r="H26" s="1736" t="s">
        <v>1335</v>
      </c>
    </row>
    <row r="27" spans="1:9">
      <c r="A27" s="1324">
        <v>1</v>
      </c>
      <c r="B27" s="1325" t="s">
        <v>1114</v>
      </c>
      <c r="C27" s="1325">
        <f>C28+C29</f>
        <v>0</v>
      </c>
      <c r="D27" s="1325"/>
      <c r="E27" s="3538"/>
      <c r="F27" s="3538"/>
      <c r="G27" s="3538"/>
    </row>
    <row r="28" spans="1:9">
      <c r="A28" s="1326" t="s">
        <v>1115</v>
      </c>
      <c r="B28" s="1325" t="s">
        <v>1116</v>
      </c>
      <c r="C28" s="1325"/>
      <c r="D28" s="1325"/>
      <c r="E28" s="3538"/>
      <c r="F28" s="3538"/>
      <c r="G28" s="353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529"/>
      <c r="F32" s="3529"/>
      <c r="G32" s="3529"/>
    </row>
    <row r="33" spans="1:7" hidden="1">
      <c r="A33" s="3539" t="s">
        <v>1125</v>
      </c>
      <c r="B33" s="3540"/>
      <c r="C33" s="3540"/>
      <c r="D33" s="3541"/>
      <c r="E33" s="3537"/>
      <c r="F33" s="3537"/>
      <c r="G33" s="3537"/>
    </row>
    <row r="34" spans="1:7" hidden="1">
      <c r="A34" s="1328">
        <v>1</v>
      </c>
      <c r="B34" s="1325" t="s">
        <v>1126</v>
      </c>
      <c r="C34" s="1325"/>
      <c r="D34" s="1325"/>
      <c r="E34" s="3538"/>
      <c r="F34" s="3538"/>
      <c r="G34" s="3538"/>
    </row>
    <row r="35" spans="1:7" hidden="1">
      <c r="A35" s="1328">
        <v>2</v>
      </c>
      <c r="B35" s="1325" t="s">
        <v>1127</v>
      </c>
      <c r="C35" s="1325"/>
      <c r="D35" s="1325"/>
      <c r="E35" s="3538"/>
      <c r="F35" s="3538"/>
      <c r="G35" s="3538"/>
    </row>
    <row r="36" spans="1:7" hidden="1">
      <c r="A36" s="1328">
        <v>3</v>
      </c>
      <c r="B36" s="1325" t="s">
        <v>1128</v>
      </c>
      <c r="C36" s="1325"/>
      <c r="D36" s="1325"/>
      <c r="E36" s="3538"/>
      <c r="F36" s="3538"/>
      <c r="G36" s="3538"/>
    </row>
    <row r="37" spans="1:7" hidden="1">
      <c r="A37" s="1328">
        <v>4</v>
      </c>
      <c r="B37" s="1325" t="s">
        <v>1129</v>
      </c>
      <c r="C37" s="1325"/>
      <c r="D37" s="1325"/>
      <c r="E37" s="3538"/>
      <c r="F37" s="3538"/>
      <c r="G37" s="3538"/>
    </row>
    <row r="38" spans="1:7" hidden="1">
      <c r="A38" s="3539" t="s">
        <v>1130</v>
      </c>
      <c r="B38" s="3540"/>
      <c r="C38" s="3540"/>
      <c r="D38" s="3541"/>
      <c r="E38" s="3537"/>
      <c r="F38" s="3537"/>
      <c r="G38" s="35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rgb="FF92D050"/>
    <pageSetUpPr fitToPage="1"/>
  </sheetPr>
  <dimension ref="A1:AC148"/>
  <sheetViews>
    <sheetView zoomScale="90" zoomScaleNormal="90" workbookViewId="0">
      <selection sqref="A1:XFD1048576"/>
    </sheetView>
  </sheetViews>
  <sheetFormatPr baseColWidth="10" defaultColWidth="9" defaultRowHeight="14"/>
  <cols>
    <col min="1" max="1" width="10.5" style="403" customWidth="1"/>
    <col min="2" max="2" width="15.832031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2624"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8" customFormat="1" ht="28.5" customHeight="1" thickBot="1">
      <c r="A1" s="1617" t="s">
        <v>2522</v>
      </c>
      <c r="B1" s="2582" t="s">
        <v>2523</v>
      </c>
      <c r="C1" s="1633" t="s">
        <v>2524</v>
      </c>
      <c r="D1" s="1620"/>
      <c r="E1" s="2583"/>
      <c r="F1" s="2584" t="s">
        <v>2525</v>
      </c>
      <c r="G1" s="1630" t="s">
        <v>2526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2527</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2528</v>
      </c>
      <c r="D3" s="399">
        <f>IF(D1="",'数据-汇总表'!E3,SUMIF('数据-汇总表'!$C19:$C33,D1,'数据-汇总表'!$E19:$E33))</f>
        <v>993873.23100000003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2529</v>
      </c>
      <c r="B4" s="402"/>
      <c r="C4" s="3490" t="s">
        <v>2530</v>
      </c>
      <c r="D4" s="3491"/>
      <c r="E4" s="3492" t="s">
        <v>2531</v>
      </c>
      <c r="F4" s="3493"/>
      <c r="G4" s="3490" t="s">
        <v>2532</v>
      </c>
      <c r="H4" s="3491"/>
      <c r="I4" s="3490" t="s">
        <v>2533</v>
      </c>
      <c r="J4" s="3491"/>
      <c r="K4" s="2596" t="s">
        <v>2534</v>
      </c>
      <c r="L4" s="1130"/>
      <c r="M4" s="1131"/>
      <c r="N4" s="1131"/>
      <c r="O4" s="1131"/>
      <c r="P4" s="3494" t="s">
        <v>2535</v>
      </c>
      <c r="Q4" s="3495"/>
      <c r="R4" s="3477" t="s">
        <v>2531</v>
      </c>
      <c r="S4" s="3478"/>
      <c r="T4" s="3477" t="s">
        <v>2532</v>
      </c>
      <c r="U4" s="3478"/>
      <c r="V4" s="3502" t="s">
        <v>2533</v>
      </c>
      <c r="W4" s="3502"/>
      <c r="X4" s="1812"/>
      <c r="Y4" s="3477" t="s">
        <v>2535</v>
      </c>
      <c r="Z4" s="3478"/>
      <c r="AA4" s="3472" t="s">
        <v>2531</v>
      </c>
      <c r="AB4" s="3472" t="s">
        <v>2532</v>
      </c>
      <c r="AC4" s="3472" t="s">
        <v>2533</v>
      </c>
    </row>
    <row r="5" spans="1:29">
      <c r="A5" s="404"/>
      <c r="B5" s="405"/>
      <c r="C5" s="3483" t="s">
        <v>2536</v>
      </c>
      <c r="D5" s="3484"/>
      <c r="E5" s="3481" t="s">
        <v>2537</v>
      </c>
      <c r="F5" s="3482"/>
      <c r="G5" s="3483" t="s">
        <v>2538</v>
      </c>
      <c r="H5" s="3484"/>
      <c r="I5" s="3483" t="s">
        <v>2539</v>
      </c>
      <c r="J5" s="3484"/>
      <c r="K5" s="2597"/>
      <c r="L5" s="1130"/>
      <c r="M5" s="1131"/>
      <c r="N5" s="1131"/>
      <c r="O5" s="1131"/>
      <c r="P5" s="3496"/>
      <c r="Q5" s="3497"/>
      <c r="R5" s="3479"/>
      <c r="S5" s="3480"/>
      <c r="T5" s="3479"/>
      <c r="U5" s="3480"/>
      <c r="V5" s="3502"/>
      <c r="W5" s="3502"/>
      <c r="X5" s="1812"/>
      <c r="Y5" s="3479"/>
      <c r="Z5" s="3480"/>
      <c r="AA5" s="3473"/>
      <c r="AB5" s="3473"/>
      <c r="AC5" s="3473"/>
    </row>
    <row r="6" spans="1:29" ht="16" thickBot="1">
      <c r="A6" s="406"/>
      <c r="B6" s="407"/>
      <c r="C6" s="3485" t="s">
        <v>2540</v>
      </c>
      <c r="D6" s="3486"/>
      <c r="E6" s="3487" t="s">
        <v>2540</v>
      </c>
      <c r="F6" s="3488"/>
      <c r="G6" s="3485" t="s">
        <v>2540</v>
      </c>
      <c r="H6" s="3486"/>
      <c r="I6" s="3485" t="s">
        <v>2540</v>
      </c>
      <c r="J6" s="3486"/>
      <c r="K6" s="2597" t="s">
        <v>2541</v>
      </c>
      <c r="L6" s="1130"/>
      <c r="M6" s="1131"/>
      <c r="N6" s="1131"/>
      <c r="O6" s="1131"/>
      <c r="P6" s="3498"/>
      <c r="Q6" s="3499"/>
      <c r="R6" s="3479"/>
      <c r="S6" s="3480"/>
      <c r="T6" s="3500"/>
      <c r="U6" s="3501"/>
      <c r="V6" s="3502"/>
      <c r="W6" s="3502"/>
      <c r="X6" s="1812"/>
      <c r="Y6" s="3500"/>
      <c r="Z6" s="3501"/>
      <c r="AA6" s="3474"/>
      <c r="AB6" s="3474"/>
      <c r="AC6" s="3474"/>
    </row>
    <row r="7" spans="1:29" s="117" customFormat="1" ht="16" thickBot="1">
      <c r="A7" s="408" t="s">
        <v>2542</v>
      </c>
      <c r="B7" s="409"/>
      <c r="C7" s="410">
        <f>'数据-取费表'!B2</f>
        <v>43905</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475" t="s">
        <v>2543</v>
      </c>
      <c r="Q7" s="3503"/>
      <c r="R7" s="770" t="s">
        <v>23</v>
      </c>
      <c r="S7" s="771">
        <f t="shared" ref="S7:S15" si="0">F7</f>
        <v>0</v>
      </c>
      <c r="T7" s="770" t="s">
        <v>23</v>
      </c>
      <c r="U7" s="771">
        <f t="shared" ref="U7:U15" si="1">H7</f>
        <v>0</v>
      </c>
      <c r="V7" s="770" t="s">
        <v>23</v>
      </c>
      <c r="W7" s="771">
        <f t="shared" ref="W7:W15" si="2">J7</f>
        <v>0</v>
      </c>
      <c r="X7" s="772"/>
      <c r="Y7" s="3475" t="s">
        <v>2543</v>
      </c>
      <c r="Z7" s="3476"/>
      <c r="AA7" s="773" t="e">
        <f>D7/F7</f>
        <v>#DIV/0!</v>
      </c>
      <c r="AB7" s="773" t="e">
        <f>D7/H7</f>
        <v>#DIV/0!</v>
      </c>
      <c r="AC7" s="773" t="e">
        <f>D7/J7</f>
        <v>#DIV/0!</v>
      </c>
    </row>
    <row r="8" spans="1:29" s="117" customFormat="1" ht="16" thickBot="1">
      <c r="A8" s="408" t="s">
        <v>2544</v>
      </c>
      <c r="B8" s="409"/>
      <c r="C8" s="414" t="s">
        <v>2545</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475" t="s">
        <v>2546</v>
      </c>
      <c r="Q8" s="3476"/>
      <c r="R8" s="770" t="s">
        <v>23</v>
      </c>
      <c r="S8" s="771">
        <f t="shared" si="0"/>
        <v>0</v>
      </c>
      <c r="T8" s="770" t="s">
        <v>23</v>
      </c>
      <c r="U8" s="771">
        <f t="shared" si="1"/>
        <v>0</v>
      </c>
      <c r="V8" s="770" t="s">
        <v>23</v>
      </c>
      <c r="W8" s="771">
        <f t="shared" si="2"/>
        <v>0</v>
      </c>
      <c r="X8" s="772"/>
      <c r="Y8" s="3475" t="s">
        <v>2546</v>
      </c>
      <c r="Z8" s="3476"/>
      <c r="AA8" s="773" t="e">
        <f t="shared" ref="AA8:AA19" si="3">D8/F8</f>
        <v>#DIV/0!</v>
      </c>
      <c r="AB8" s="773" t="e">
        <f t="shared" ref="AB8:AB19" si="4">D8/H8</f>
        <v>#DIV/0!</v>
      </c>
      <c r="AC8" s="773" t="e">
        <f t="shared" ref="AC8:AC19" si="5">D8/J8</f>
        <v>#DIV/0!</v>
      </c>
    </row>
    <row r="9" spans="1:29" s="117" customFormat="1" ht="15">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513" t="s">
        <v>2549</v>
      </c>
      <c r="Q9" s="1794" t="str">
        <f t="shared" ref="Q9:Q15" si="6">B9</f>
        <v>用途</v>
      </c>
      <c r="R9" s="770" t="s">
        <v>17</v>
      </c>
      <c r="S9" s="771">
        <f t="shared" si="0"/>
        <v>100</v>
      </c>
      <c r="T9" s="770" t="s">
        <v>17</v>
      </c>
      <c r="U9" s="771">
        <f t="shared" si="1"/>
        <v>100</v>
      </c>
      <c r="V9" s="770" t="s">
        <v>17</v>
      </c>
      <c r="W9" s="771">
        <f t="shared" si="2"/>
        <v>100</v>
      </c>
      <c r="X9" s="772"/>
      <c r="Y9" s="3219" t="s">
        <v>2550</v>
      </c>
      <c r="Z9" s="55" t="str">
        <f t="shared" ref="Z9:Z15" si="7">Q9</f>
        <v>用途</v>
      </c>
      <c r="AA9" s="773">
        <f t="shared" si="3"/>
        <v>1</v>
      </c>
      <c r="AB9" s="773">
        <f t="shared" si="4"/>
        <v>1</v>
      </c>
      <c r="AC9" s="773">
        <f t="shared" si="5"/>
        <v>1</v>
      </c>
    </row>
    <row r="10" spans="1:29" s="427" customFormat="1" ht="30">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513"/>
      <c r="Q10" s="1794" t="str">
        <f t="shared" si="6"/>
        <v>土地使用年限（年）</v>
      </c>
      <c r="R10" s="770" t="s">
        <v>17</v>
      </c>
      <c r="S10" s="771">
        <f t="shared" si="0"/>
        <v>100</v>
      </c>
      <c r="T10" s="770" t="s">
        <v>17</v>
      </c>
      <c r="U10" s="771">
        <f t="shared" si="1"/>
        <v>100</v>
      </c>
      <c r="V10" s="770" t="s">
        <v>17</v>
      </c>
      <c r="W10" s="771">
        <f t="shared" si="2"/>
        <v>100</v>
      </c>
      <c r="X10" s="772"/>
      <c r="Y10" s="3219"/>
      <c r="Z10" s="55" t="str">
        <f t="shared" si="7"/>
        <v>土地使用年限（年）</v>
      </c>
      <c r="AA10" s="773">
        <f t="shared" si="3"/>
        <v>1</v>
      </c>
      <c r="AB10" s="773">
        <f t="shared" si="4"/>
        <v>1</v>
      </c>
      <c r="AC10" s="773">
        <f t="shared" si="5"/>
        <v>1</v>
      </c>
    </row>
    <row r="11" spans="1:29" ht="16">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513"/>
      <c r="Q11" s="1794" t="str">
        <f t="shared" si="6"/>
        <v>容积率</v>
      </c>
      <c r="R11" s="770" t="s">
        <v>21</v>
      </c>
      <c r="S11" s="771" t="e">
        <f t="shared" si="0"/>
        <v>#N/A</v>
      </c>
      <c r="T11" s="770" t="s">
        <v>21</v>
      </c>
      <c r="U11" s="771" t="e">
        <f t="shared" si="1"/>
        <v>#N/A</v>
      </c>
      <c r="V11" s="770" t="s">
        <v>21</v>
      </c>
      <c r="W11" s="771" t="e">
        <f t="shared" si="2"/>
        <v>#N/A</v>
      </c>
      <c r="X11" s="772"/>
      <c r="Y11" s="3219"/>
      <c r="Z11" s="55" t="str">
        <f t="shared" si="7"/>
        <v>容积率</v>
      </c>
      <c r="AA11" s="773" t="e">
        <f t="shared" si="3"/>
        <v>#N/A</v>
      </c>
      <c r="AB11" s="773" t="e">
        <f t="shared" si="4"/>
        <v>#N/A</v>
      </c>
      <c r="AC11" s="773" t="e">
        <f t="shared" si="5"/>
        <v>#N/A</v>
      </c>
    </row>
    <row r="12" spans="1:29" s="117" customFormat="1" ht="16">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513"/>
      <c r="Q12" s="1794">
        <f t="shared" si="6"/>
        <v>111</v>
      </c>
      <c r="R12" s="770" t="s">
        <v>21</v>
      </c>
      <c r="S12" s="771">
        <f t="shared" si="0"/>
        <v>100</v>
      </c>
      <c r="T12" s="770" t="s">
        <v>21</v>
      </c>
      <c r="U12" s="771">
        <f t="shared" si="1"/>
        <v>100</v>
      </c>
      <c r="V12" s="770" t="s">
        <v>21</v>
      </c>
      <c r="W12" s="771">
        <f t="shared" si="2"/>
        <v>100</v>
      </c>
      <c r="X12" s="772"/>
      <c r="Y12" s="3219"/>
      <c r="Z12" s="55">
        <f t="shared" si="7"/>
        <v>111</v>
      </c>
      <c r="AA12" s="773">
        <f>D12/F12</f>
        <v>1</v>
      </c>
      <c r="AB12" s="773">
        <f>D12/H12</f>
        <v>1</v>
      </c>
      <c r="AC12" s="773">
        <f>D12/J12</f>
        <v>1</v>
      </c>
    </row>
    <row r="13" spans="1:29" ht="16">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513"/>
      <c r="Q13" s="1794">
        <f t="shared" si="6"/>
        <v>111</v>
      </c>
      <c r="R13" s="770" t="s">
        <v>21</v>
      </c>
      <c r="S13" s="771">
        <f t="shared" si="0"/>
        <v>100</v>
      </c>
      <c r="T13" s="770" t="s">
        <v>21</v>
      </c>
      <c r="U13" s="771">
        <f t="shared" si="1"/>
        <v>100</v>
      </c>
      <c r="V13" s="770" t="s">
        <v>21</v>
      </c>
      <c r="W13" s="771">
        <f t="shared" si="2"/>
        <v>100</v>
      </c>
      <c r="X13" s="772"/>
      <c r="Y13" s="3219"/>
      <c r="Z13" s="55">
        <f t="shared" si="7"/>
        <v>111</v>
      </c>
      <c r="AA13" s="773">
        <f t="shared" si="3"/>
        <v>1</v>
      </c>
      <c r="AB13" s="773">
        <f t="shared" si="4"/>
        <v>1</v>
      </c>
      <c r="AC13" s="773">
        <f t="shared" si="5"/>
        <v>1</v>
      </c>
    </row>
    <row r="14" spans="1:29" ht="17"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513"/>
      <c r="Q14" s="1794">
        <f t="shared" si="6"/>
        <v>111</v>
      </c>
      <c r="R14" s="770" t="s">
        <v>21</v>
      </c>
      <c r="S14" s="771">
        <f t="shared" si="0"/>
        <v>100</v>
      </c>
      <c r="T14" s="770" t="s">
        <v>21</v>
      </c>
      <c r="U14" s="771">
        <f t="shared" si="1"/>
        <v>100</v>
      </c>
      <c r="V14" s="770" t="s">
        <v>21</v>
      </c>
      <c r="W14" s="771">
        <f t="shared" si="2"/>
        <v>100</v>
      </c>
      <c r="X14" s="772"/>
      <c r="Y14" s="3219"/>
      <c r="Z14" s="55">
        <f t="shared" si="7"/>
        <v>111</v>
      </c>
      <c r="AA14" s="773">
        <f t="shared" si="3"/>
        <v>1</v>
      </c>
      <c r="AB14" s="773">
        <f t="shared" si="4"/>
        <v>1</v>
      </c>
      <c r="AC14" s="773">
        <f t="shared" si="5"/>
        <v>1</v>
      </c>
    </row>
    <row r="15" spans="1:29" ht="105">
      <c r="A15" s="440" t="s">
        <v>2553</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548" t="s">
        <v>2554</v>
      </c>
      <c r="Q15" s="1809" t="str">
        <f t="shared" si="6"/>
        <v>居住社区成熟度</v>
      </c>
      <c r="R15" s="774" t="s">
        <v>21</v>
      </c>
      <c r="S15" s="775">
        <f t="shared" si="0"/>
        <v>100</v>
      </c>
      <c r="T15" s="774" t="s">
        <v>21</v>
      </c>
      <c r="U15" s="775">
        <f t="shared" si="1"/>
        <v>100</v>
      </c>
      <c r="V15" s="774" t="s">
        <v>21</v>
      </c>
      <c r="W15" s="775">
        <f t="shared" si="2"/>
        <v>100</v>
      </c>
      <c r="X15" s="1812"/>
      <c r="Y15" s="3504" t="s">
        <v>2554</v>
      </c>
      <c r="Z15" s="1813" t="str">
        <f t="shared" si="7"/>
        <v>居住社区成熟度</v>
      </c>
      <c r="AA15" s="1810">
        <f t="shared" si="3"/>
        <v>1</v>
      </c>
      <c r="AB15" s="1810">
        <f t="shared" si="4"/>
        <v>1</v>
      </c>
      <c r="AC15" s="1810">
        <f t="shared" si="5"/>
        <v>1</v>
      </c>
    </row>
    <row r="16" spans="1:29" ht="16">
      <c r="A16" s="428"/>
      <c r="B16" s="446"/>
      <c r="C16" s="447"/>
      <c r="D16" s="448"/>
      <c r="E16" s="2604"/>
      <c r="F16" s="448"/>
      <c r="G16" s="2605"/>
      <c r="H16" s="450"/>
      <c r="I16" s="2605"/>
      <c r="J16" s="448"/>
      <c r="K16" s="2606"/>
      <c r="L16" s="1140"/>
      <c r="M16" s="1131"/>
      <c r="N16" s="1131"/>
      <c r="O16" s="1131"/>
      <c r="P16" s="3549"/>
      <c r="Q16" s="1809"/>
      <c r="R16" s="774"/>
      <c r="S16" s="775"/>
      <c r="T16" s="774"/>
      <c r="U16" s="775"/>
      <c r="V16" s="774"/>
      <c r="W16" s="775"/>
      <c r="X16" s="1812"/>
      <c r="Y16" s="3505"/>
      <c r="Z16" s="1813"/>
      <c r="AA16" s="1810">
        <v>1</v>
      </c>
      <c r="AB16" s="1810">
        <v>1</v>
      </c>
      <c r="AC16" s="1810">
        <v>1</v>
      </c>
    </row>
    <row r="17" spans="1:29" ht="90">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549"/>
      <c r="Q17" s="1809" t="str">
        <f>B17</f>
        <v>交通便捷度</v>
      </c>
      <c r="R17" s="774" t="s">
        <v>21</v>
      </c>
      <c r="S17" s="775">
        <f>F17</f>
        <v>100</v>
      </c>
      <c r="T17" s="774" t="s">
        <v>21</v>
      </c>
      <c r="U17" s="775">
        <f>H17</f>
        <v>100</v>
      </c>
      <c r="V17" s="774" t="s">
        <v>21</v>
      </c>
      <c r="W17" s="775">
        <f>J17</f>
        <v>100</v>
      </c>
      <c r="X17" s="1812"/>
      <c r="Y17" s="3505"/>
      <c r="Z17" s="1813" t="str">
        <f>Q17</f>
        <v>交通便捷度</v>
      </c>
      <c r="AA17" s="1810">
        <f t="shared" si="3"/>
        <v>1</v>
      </c>
      <c r="AB17" s="1810">
        <f t="shared" si="4"/>
        <v>1</v>
      </c>
      <c r="AC17" s="1810">
        <f t="shared" si="5"/>
        <v>1</v>
      </c>
    </row>
    <row r="18" spans="1:29" ht="16">
      <c r="A18" s="428"/>
      <c r="B18" s="456"/>
      <c r="C18" s="2608"/>
      <c r="D18" s="450"/>
      <c r="E18" s="2609"/>
      <c r="F18" s="450"/>
      <c r="G18" s="2610"/>
      <c r="H18" s="448"/>
      <c r="I18" s="2610"/>
      <c r="J18" s="448"/>
      <c r="K18" s="2606"/>
      <c r="L18" s="1140"/>
      <c r="M18" s="1131"/>
      <c r="N18" s="1131"/>
      <c r="O18" s="1131"/>
      <c r="P18" s="3549"/>
      <c r="Q18" s="1809"/>
      <c r="R18" s="774"/>
      <c r="S18" s="775"/>
      <c r="T18" s="774"/>
      <c r="U18" s="775"/>
      <c r="V18" s="774"/>
      <c r="W18" s="775"/>
      <c r="X18" s="1812"/>
      <c r="Y18" s="3505"/>
      <c r="Z18" s="1813"/>
      <c r="AA18" s="1810">
        <v>1</v>
      </c>
      <c r="AB18" s="1810">
        <v>1</v>
      </c>
      <c r="AC18" s="1810">
        <v>1</v>
      </c>
    </row>
    <row r="19" spans="1:29" ht="4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549"/>
      <c r="Q19" s="1809" t="str">
        <f>B19</f>
        <v>公共配套设施</v>
      </c>
      <c r="R19" s="774" t="s">
        <v>21</v>
      </c>
      <c r="S19" s="775">
        <f>F19</f>
        <v>100</v>
      </c>
      <c r="T19" s="774" t="s">
        <v>21</v>
      </c>
      <c r="U19" s="775">
        <f>H19</f>
        <v>100</v>
      </c>
      <c r="V19" s="774" t="s">
        <v>21</v>
      </c>
      <c r="W19" s="775">
        <f>J19</f>
        <v>100</v>
      </c>
      <c r="X19" s="1812"/>
      <c r="Y19" s="3505"/>
      <c r="Z19" s="1813" t="str">
        <f>Q19</f>
        <v>公共配套设施</v>
      </c>
      <c r="AA19" s="1810">
        <f t="shared" si="3"/>
        <v>1</v>
      </c>
      <c r="AB19" s="1810">
        <f t="shared" si="4"/>
        <v>1</v>
      </c>
      <c r="AC19" s="1810">
        <f t="shared" si="5"/>
        <v>1</v>
      </c>
    </row>
    <row r="20" spans="1:29" ht="16">
      <c r="A20" s="428"/>
      <c r="B20" s="456"/>
      <c r="C20" s="447"/>
      <c r="D20" s="448"/>
      <c r="E20" s="2604"/>
      <c r="F20" s="448"/>
      <c r="G20" s="2605"/>
      <c r="H20" s="448"/>
      <c r="I20" s="2605"/>
      <c r="J20" s="448"/>
      <c r="K20" s="2606"/>
      <c r="L20" s="1140"/>
      <c r="M20" s="1131"/>
      <c r="N20" s="1131"/>
      <c r="O20" s="1131"/>
      <c r="P20" s="3549"/>
      <c r="Q20" s="1809"/>
      <c r="R20" s="774"/>
      <c r="S20" s="775"/>
      <c r="T20" s="774"/>
      <c r="U20" s="775"/>
      <c r="V20" s="774"/>
      <c r="W20" s="775"/>
      <c r="X20" s="1812"/>
      <c r="Y20" s="3505"/>
      <c r="Z20" s="1813"/>
      <c r="AA20" s="1810">
        <v>1</v>
      </c>
      <c r="AB20" s="1810">
        <v>1</v>
      </c>
      <c r="AC20" s="1810">
        <v>1</v>
      </c>
    </row>
    <row r="21" spans="1:29" ht="30">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549"/>
      <c r="Q21" s="1809" t="str">
        <f>B21</f>
        <v>基础设施水平</v>
      </c>
      <c r="R21" s="774" t="s">
        <v>17</v>
      </c>
      <c r="S21" s="775">
        <f>F21</f>
        <v>100</v>
      </c>
      <c r="T21" s="774" t="s">
        <v>17</v>
      </c>
      <c r="U21" s="775">
        <f>H21</f>
        <v>100</v>
      </c>
      <c r="V21" s="774" t="s">
        <v>17</v>
      </c>
      <c r="W21" s="775">
        <f>J21</f>
        <v>100</v>
      </c>
      <c r="X21" s="1812"/>
      <c r="Y21" s="3505"/>
      <c r="Z21" s="1813" t="str">
        <f>Q21</f>
        <v>基础设施水平</v>
      </c>
      <c r="AA21" s="1810">
        <f t="shared" ref="AA21" si="8">D21/F21</f>
        <v>1</v>
      </c>
      <c r="AB21" s="1810">
        <f t="shared" ref="AB21" si="9">D21/H21</f>
        <v>1</v>
      </c>
      <c r="AC21" s="1810">
        <f t="shared" ref="AC21" si="10">D21/J21</f>
        <v>1</v>
      </c>
    </row>
    <row r="22" spans="1:29" ht="16">
      <c r="A22" s="428"/>
      <c r="B22" s="1384"/>
      <c r="C22" s="2608"/>
      <c r="D22" s="448"/>
      <c r="E22" s="447"/>
      <c r="F22" s="448"/>
      <c r="G22" s="2611"/>
      <c r="H22" s="448"/>
      <c r="I22" s="447"/>
      <c r="J22" s="448"/>
      <c r="K22" s="2612"/>
      <c r="L22" s="1140"/>
      <c r="M22" s="1131"/>
      <c r="N22" s="1131"/>
      <c r="O22" s="1131"/>
      <c r="P22" s="3549"/>
      <c r="Q22" s="1809"/>
      <c r="R22" s="774"/>
      <c r="S22" s="775"/>
      <c r="T22" s="774"/>
      <c r="U22" s="775"/>
      <c r="V22" s="774"/>
      <c r="W22" s="775"/>
      <c r="X22" s="1812"/>
      <c r="Y22" s="3505"/>
      <c r="Z22" s="1813"/>
      <c r="AA22" s="1810">
        <v>1</v>
      </c>
      <c r="AB22" s="1810">
        <v>1</v>
      </c>
      <c r="AC22" s="1810">
        <v>1</v>
      </c>
    </row>
    <row r="23" spans="1:29" ht="60">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549"/>
      <c r="Q23" s="1809" t="str">
        <f>B23</f>
        <v>自然及人文环境</v>
      </c>
      <c r="R23" s="774" t="s">
        <v>21</v>
      </c>
      <c r="S23" s="775">
        <f>F23</f>
        <v>100</v>
      </c>
      <c r="T23" s="774" t="s">
        <v>21</v>
      </c>
      <c r="U23" s="775">
        <f>H23</f>
        <v>100</v>
      </c>
      <c r="V23" s="774" t="s">
        <v>21</v>
      </c>
      <c r="W23" s="775">
        <f>J23</f>
        <v>100</v>
      </c>
      <c r="X23" s="1812"/>
      <c r="Y23" s="3505"/>
      <c r="Z23" s="1813" t="str">
        <f>Q23</f>
        <v>自然及人文环境</v>
      </c>
      <c r="AA23" s="1810">
        <f>D23/F23</f>
        <v>1</v>
      </c>
      <c r="AB23" s="1810">
        <f>D23/H23</f>
        <v>1</v>
      </c>
      <c r="AC23" s="1810">
        <f>D23/J23</f>
        <v>1</v>
      </c>
    </row>
    <row r="24" spans="1:29" ht="16">
      <c r="A24" s="428"/>
      <c r="B24" s="456"/>
      <c r="C24" s="447"/>
      <c r="D24" s="448"/>
      <c r="E24" s="2604"/>
      <c r="F24" s="448"/>
      <c r="G24" s="2605"/>
      <c r="H24" s="448"/>
      <c r="I24" s="2605"/>
      <c r="J24" s="448"/>
      <c r="K24" s="2606"/>
      <c r="L24" s="1140"/>
      <c r="M24" s="1131"/>
      <c r="N24" s="1131"/>
      <c r="O24" s="1131"/>
      <c r="P24" s="3549"/>
      <c r="Q24" s="1809"/>
      <c r="R24" s="774"/>
      <c r="S24" s="775"/>
      <c r="T24" s="774"/>
      <c r="U24" s="775"/>
      <c r="V24" s="774"/>
      <c r="W24" s="775"/>
      <c r="X24" s="1812"/>
      <c r="Y24" s="3505"/>
      <c r="Z24" s="1813"/>
      <c r="AA24" s="1810">
        <v>1</v>
      </c>
      <c r="AB24" s="1810">
        <v>1</v>
      </c>
      <c r="AC24" s="1810">
        <v>1</v>
      </c>
    </row>
    <row r="25" spans="1:29" ht="16">
      <c r="A25" s="428"/>
      <c r="B25" s="422" t="s">
        <v>2555</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54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505"/>
      <c r="Z25" s="1813" t="str">
        <f>Q25</f>
        <v>楼层-1</v>
      </c>
      <c r="AA25" s="1810">
        <f t="shared" ref="AA25:AA46" si="15">D25/F25</f>
        <v>1</v>
      </c>
      <c r="AB25" s="1810">
        <f t="shared" ref="AB25:AB46" si="16">D25/H25</f>
        <v>1</v>
      </c>
      <c r="AC25" s="1810">
        <f t="shared" ref="AC25:AC46" si="17">D25/J25</f>
        <v>1</v>
      </c>
    </row>
    <row r="26" spans="1:29" ht="16">
      <c r="A26" s="428"/>
      <c r="B26" s="422" t="s">
        <v>2556</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549"/>
      <c r="Q26" s="1809" t="str">
        <f t="shared" si="11"/>
        <v>朝向</v>
      </c>
      <c r="R26" s="774" t="s">
        <v>21</v>
      </c>
      <c r="S26" s="775">
        <f t="shared" si="12"/>
        <v>100</v>
      </c>
      <c r="T26" s="774" t="s">
        <v>21</v>
      </c>
      <c r="U26" s="775">
        <f t="shared" si="13"/>
        <v>100</v>
      </c>
      <c r="V26" s="774" t="s">
        <v>21</v>
      </c>
      <c r="W26" s="775">
        <f t="shared" si="14"/>
        <v>100</v>
      </c>
      <c r="X26" s="1812"/>
      <c r="Y26" s="3505"/>
      <c r="Z26" s="1813" t="str">
        <f>Q26</f>
        <v>朝向</v>
      </c>
      <c r="AA26" s="1810">
        <f t="shared" si="15"/>
        <v>1</v>
      </c>
      <c r="AB26" s="1810">
        <f t="shared" si="16"/>
        <v>1</v>
      </c>
      <c r="AC26" s="1810">
        <f t="shared" si="17"/>
        <v>1</v>
      </c>
    </row>
    <row r="27" spans="1:29" s="117" customFormat="1" ht="16">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549"/>
      <c r="Q27" s="1794">
        <f t="shared" si="11"/>
        <v>111</v>
      </c>
      <c r="R27" s="770" t="s">
        <v>21</v>
      </c>
      <c r="S27" s="771">
        <f t="shared" si="12"/>
        <v>100</v>
      </c>
      <c r="T27" s="770" t="s">
        <v>21</v>
      </c>
      <c r="U27" s="771">
        <f t="shared" si="13"/>
        <v>100</v>
      </c>
      <c r="V27" s="770" t="s">
        <v>21</v>
      </c>
      <c r="W27" s="771">
        <f t="shared" si="14"/>
        <v>100</v>
      </c>
      <c r="X27" s="772"/>
      <c r="Y27" s="3505"/>
      <c r="Z27" s="55">
        <f>Q27</f>
        <v>111</v>
      </c>
      <c r="AA27" s="1810">
        <f t="shared" si="15"/>
        <v>1</v>
      </c>
      <c r="AB27" s="1810">
        <f t="shared" si="16"/>
        <v>1</v>
      </c>
      <c r="AC27" s="1810">
        <f t="shared" si="17"/>
        <v>1</v>
      </c>
    </row>
    <row r="28" spans="1:29" ht="16">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549"/>
      <c r="Q28" s="1809">
        <f t="shared" si="11"/>
        <v>111</v>
      </c>
      <c r="R28" s="774" t="s">
        <v>21</v>
      </c>
      <c r="S28" s="775">
        <f t="shared" si="12"/>
        <v>100</v>
      </c>
      <c r="T28" s="774" t="s">
        <v>21</v>
      </c>
      <c r="U28" s="775">
        <f t="shared" si="13"/>
        <v>100</v>
      </c>
      <c r="V28" s="774" t="s">
        <v>21</v>
      </c>
      <c r="W28" s="775">
        <f t="shared" si="14"/>
        <v>100</v>
      </c>
      <c r="X28" s="1812"/>
      <c r="Y28" s="3505"/>
      <c r="Z28" s="1813">
        <f t="shared" ref="Z28:Z46" si="18">Q28</f>
        <v>111</v>
      </c>
      <c r="AA28" s="1810">
        <f t="shared" si="15"/>
        <v>1</v>
      </c>
      <c r="AB28" s="1810">
        <f t="shared" si="16"/>
        <v>1</v>
      </c>
      <c r="AC28" s="1810">
        <f t="shared" si="17"/>
        <v>1</v>
      </c>
    </row>
    <row r="29" spans="1:29" ht="16">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549"/>
      <c r="Q29" s="1809">
        <f t="shared" si="11"/>
        <v>111</v>
      </c>
      <c r="R29" s="774" t="s">
        <v>21</v>
      </c>
      <c r="S29" s="775">
        <f t="shared" si="12"/>
        <v>100</v>
      </c>
      <c r="T29" s="774" t="s">
        <v>21</v>
      </c>
      <c r="U29" s="775">
        <f t="shared" si="13"/>
        <v>100</v>
      </c>
      <c r="V29" s="774" t="s">
        <v>21</v>
      </c>
      <c r="W29" s="775">
        <f t="shared" si="14"/>
        <v>100</v>
      </c>
      <c r="X29" s="1812"/>
      <c r="Y29" s="3505"/>
      <c r="Z29" s="1813">
        <f t="shared" si="18"/>
        <v>111</v>
      </c>
      <c r="AA29" s="1810">
        <f t="shared" si="15"/>
        <v>1</v>
      </c>
      <c r="AB29" s="1810">
        <f t="shared" si="16"/>
        <v>1</v>
      </c>
      <c r="AC29" s="1810">
        <f t="shared" si="17"/>
        <v>1</v>
      </c>
    </row>
    <row r="30" spans="1:29" ht="16">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549"/>
      <c r="Q30" s="1809">
        <f t="shared" si="11"/>
        <v>111</v>
      </c>
      <c r="R30" s="774" t="s">
        <v>21</v>
      </c>
      <c r="S30" s="775">
        <f t="shared" si="12"/>
        <v>100</v>
      </c>
      <c r="T30" s="774" t="s">
        <v>21</v>
      </c>
      <c r="U30" s="775">
        <f t="shared" si="13"/>
        <v>100</v>
      </c>
      <c r="V30" s="774" t="s">
        <v>21</v>
      </c>
      <c r="W30" s="775">
        <f t="shared" si="14"/>
        <v>100</v>
      </c>
      <c r="X30" s="1812"/>
      <c r="Y30" s="3505"/>
      <c r="Z30" s="1813">
        <f t="shared" si="18"/>
        <v>111</v>
      </c>
      <c r="AA30" s="1810">
        <f t="shared" si="15"/>
        <v>1</v>
      </c>
      <c r="AB30" s="1810">
        <f t="shared" si="16"/>
        <v>1</v>
      </c>
      <c r="AC30" s="1810">
        <f t="shared" si="17"/>
        <v>1</v>
      </c>
    </row>
    <row r="31" spans="1:29" ht="17"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549"/>
      <c r="Q31" s="1809">
        <f t="shared" si="11"/>
        <v>111</v>
      </c>
      <c r="R31" s="774" t="s">
        <v>21</v>
      </c>
      <c r="S31" s="775">
        <f t="shared" si="12"/>
        <v>100</v>
      </c>
      <c r="T31" s="774" t="s">
        <v>21</v>
      </c>
      <c r="U31" s="775">
        <f t="shared" si="13"/>
        <v>100</v>
      </c>
      <c r="V31" s="774" t="s">
        <v>21</v>
      </c>
      <c r="W31" s="775">
        <f t="shared" si="14"/>
        <v>100</v>
      </c>
      <c r="X31" s="1812"/>
      <c r="Y31" s="3505"/>
      <c r="Z31" s="1813">
        <f t="shared" si="18"/>
        <v>111</v>
      </c>
      <c r="AA31" s="1810">
        <f t="shared" si="15"/>
        <v>1</v>
      </c>
      <c r="AB31" s="1810">
        <f t="shared" si="16"/>
        <v>1</v>
      </c>
      <c r="AC31" s="1810">
        <f t="shared" si="17"/>
        <v>1</v>
      </c>
    </row>
    <row r="32" spans="1:29" ht="16">
      <c r="A32" s="440" t="s">
        <v>2557</v>
      </c>
      <c r="B32" s="71" t="s">
        <v>2558</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544" t="s">
        <v>2559</v>
      </c>
      <c r="Q32" s="1809" t="str">
        <f t="shared" si="11"/>
        <v>建筑类型</v>
      </c>
      <c r="R32" s="774" t="s">
        <v>21</v>
      </c>
      <c r="S32" s="775">
        <f t="shared" si="12"/>
        <v>100</v>
      </c>
      <c r="T32" s="774" t="s">
        <v>21</v>
      </c>
      <c r="U32" s="775">
        <f t="shared" si="13"/>
        <v>100</v>
      </c>
      <c r="V32" s="774" t="s">
        <v>21</v>
      </c>
      <c r="W32" s="775">
        <f t="shared" si="14"/>
        <v>100</v>
      </c>
      <c r="X32" s="1812"/>
      <c r="Y32" s="3507" t="s">
        <v>2559</v>
      </c>
      <c r="Z32" s="1813" t="str">
        <f t="shared" si="18"/>
        <v>建筑类型</v>
      </c>
      <c r="AA32" s="1810">
        <f t="shared" si="15"/>
        <v>1</v>
      </c>
      <c r="AB32" s="1810">
        <f t="shared" si="16"/>
        <v>1</v>
      </c>
      <c r="AC32" s="1810">
        <f t="shared" si="17"/>
        <v>1</v>
      </c>
    </row>
    <row r="33" spans="1:29" s="471" customFormat="1" ht="16">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545"/>
      <c r="Q33" s="776" t="str">
        <f t="shared" si="11"/>
        <v>项目建筑规模</v>
      </c>
      <c r="R33" s="777" t="s">
        <v>21</v>
      </c>
      <c r="S33" s="778" t="e">
        <f t="shared" si="12"/>
        <v>#N/A</v>
      </c>
      <c r="T33" s="777" t="s">
        <v>21</v>
      </c>
      <c r="U33" s="778" t="e">
        <f t="shared" si="13"/>
        <v>#N/A</v>
      </c>
      <c r="V33" s="777" t="s">
        <v>21</v>
      </c>
      <c r="W33" s="778" t="e">
        <f t="shared" si="14"/>
        <v>#N/A</v>
      </c>
      <c r="X33" s="779"/>
      <c r="Y33" s="3507"/>
      <c r="Z33" s="780" t="str">
        <f t="shared" si="18"/>
        <v>项目建筑规模</v>
      </c>
      <c r="AA33" s="1810" t="e">
        <f t="shared" si="15"/>
        <v>#N/A</v>
      </c>
      <c r="AB33" s="1810" t="e">
        <f t="shared" si="16"/>
        <v>#N/A</v>
      </c>
      <c r="AC33" s="1810" t="e">
        <f t="shared" si="17"/>
        <v>#N/A</v>
      </c>
    </row>
    <row r="34" spans="1:29" ht="16">
      <c r="A34" s="472"/>
      <c r="B34" s="422" t="s">
        <v>2561</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545"/>
      <c r="Q34" s="1809" t="str">
        <f t="shared" si="11"/>
        <v>建筑结构</v>
      </c>
      <c r="R34" s="774" t="s">
        <v>21</v>
      </c>
      <c r="S34" s="775">
        <f t="shared" si="12"/>
        <v>100</v>
      </c>
      <c r="T34" s="774" t="s">
        <v>21</v>
      </c>
      <c r="U34" s="775">
        <f t="shared" si="13"/>
        <v>100</v>
      </c>
      <c r="V34" s="774" t="s">
        <v>21</v>
      </c>
      <c r="W34" s="775">
        <f t="shared" si="14"/>
        <v>100</v>
      </c>
      <c r="X34" s="1812"/>
      <c r="Y34" s="3507"/>
      <c r="Z34" s="1813" t="str">
        <f t="shared" si="18"/>
        <v>建筑结构</v>
      </c>
      <c r="AA34" s="1810">
        <f t="shared" si="15"/>
        <v>1</v>
      </c>
      <c r="AB34" s="1810">
        <f t="shared" si="16"/>
        <v>1</v>
      </c>
      <c r="AC34" s="1810">
        <f t="shared" si="17"/>
        <v>1</v>
      </c>
    </row>
    <row r="35" spans="1:29" ht="16">
      <c r="A35" s="472"/>
      <c r="B35" s="422" t="s">
        <v>2562</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545"/>
      <c r="Q35" s="1809" t="str">
        <f t="shared" si="11"/>
        <v>建筑品质</v>
      </c>
      <c r="R35" s="774" t="s">
        <v>21</v>
      </c>
      <c r="S35" s="775">
        <f t="shared" si="12"/>
        <v>100</v>
      </c>
      <c r="T35" s="774" t="s">
        <v>21</v>
      </c>
      <c r="U35" s="775">
        <f t="shared" si="13"/>
        <v>100</v>
      </c>
      <c r="V35" s="774" t="s">
        <v>21</v>
      </c>
      <c r="W35" s="775">
        <f t="shared" si="14"/>
        <v>100</v>
      </c>
      <c r="X35" s="1812"/>
      <c r="Y35" s="3507"/>
      <c r="Z35" s="1813" t="str">
        <f t="shared" si="18"/>
        <v>建筑品质</v>
      </c>
      <c r="AA35" s="1810">
        <f t="shared" si="15"/>
        <v>1</v>
      </c>
      <c r="AB35" s="1810">
        <f t="shared" si="16"/>
        <v>1</v>
      </c>
      <c r="AC35" s="1810">
        <f t="shared" si="17"/>
        <v>1</v>
      </c>
    </row>
    <row r="36" spans="1:29" ht="16">
      <c r="A36" s="472"/>
      <c r="B36" s="422" t="s">
        <v>2563</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545"/>
      <c r="Q36" s="1809" t="str">
        <f t="shared" si="11"/>
        <v>公共部分装修</v>
      </c>
      <c r="R36" s="774" t="s">
        <v>21</v>
      </c>
      <c r="S36" s="775">
        <f t="shared" si="12"/>
        <v>100</v>
      </c>
      <c r="T36" s="774" t="s">
        <v>21</v>
      </c>
      <c r="U36" s="775">
        <f t="shared" si="13"/>
        <v>100</v>
      </c>
      <c r="V36" s="774" t="s">
        <v>21</v>
      </c>
      <c r="W36" s="775">
        <f t="shared" si="14"/>
        <v>100</v>
      </c>
      <c r="X36" s="1812"/>
      <c r="Y36" s="3507"/>
      <c r="Z36" s="1813" t="str">
        <f t="shared" si="18"/>
        <v>公共部分装修</v>
      </c>
      <c r="AA36" s="1810">
        <f t="shared" si="15"/>
        <v>1</v>
      </c>
      <c r="AB36" s="1810">
        <f t="shared" si="16"/>
        <v>1</v>
      </c>
      <c r="AC36" s="1810">
        <f t="shared" si="17"/>
        <v>1</v>
      </c>
    </row>
    <row r="37" spans="1:29" s="117" customFormat="1" ht="16">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545"/>
      <c r="Q37" s="1794" t="str">
        <f t="shared" si="11"/>
        <v>成新度</v>
      </c>
      <c r="R37" s="770" t="s">
        <v>21</v>
      </c>
      <c r="S37" s="771" t="e">
        <f t="shared" si="12"/>
        <v>#N/A</v>
      </c>
      <c r="T37" s="770" t="s">
        <v>21</v>
      </c>
      <c r="U37" s="771" t="e">
        <f t="shared" si="13"/>
        <v>#N/A</v>
      </c>
      <c r="V37" s="770" t="s">
        <v>21</v>
      </c>
      <c r="W37" s="771" t="e">
        <f t="shared" si="14"/>
        <v>#N/A</v>
      </c>
      <c r="X37" s="772"/>
      <c r="Y37" s="3507"/>
      <c r="Z37" s="55" t="str">
        <f t="shared" si="18"/>
        <v>成新度</v>
      </c>
      <c r="AA37" s="773" t="e">
        <f t="shared" si="15"/>
        <v>#N/A</v>
      </c>
      <c r="AB37" s="773" t="e">
        <f t="shared" si="16"/>
        <v>#N/A</v>
      </c>
      <c r="AC37" s="773" t="e">
        <f t="shared" si="17"/>
        <v>#N/A</v>
      </c>
    </row>
    <row r="38" spans="1:29" ht="16">
      <c r="A38" s="472"/>
      <c r="B38" s="422" t="s">
        <v>2565</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545" t="s">
        <v>2559</v>
      </c>
      <c r="Q38" s="1809" t="str">
        <f t="shared" si="11"/>
        <v>物业管理</v>
      </c>
      <c r="R38" s="774" t="s">
        <v>21</v>
      </c>
      <c r="S38" s="775">
        <f t="shared" si="12"/>
        <v>100</v>
      </c>
      <c r="T38" s="774" t="s">
        <v>21</v>
      </c>
      <c r="U38" s="775">
        <f t="shared" si="13"/>
        <v>100</v>
      </c>
      <c r="V38" s="774" t="s">
        <v>21</v>
      </c>
      <c r="W38" s="775">
        <f t="shared" si="14"/>
        <v>100</v>
      </c>
      <c r="X38" s="1812"/>
      <c r="Y38" s="3507" t="s">
        <v>2559</v>
      </c>
      <c r="Z38" s="1813" t="str">
        <f t="shared" si="18"/>
        <v>物业管理</v>
      </c>
      <c r="AA38" s="1810">
        <f t="shared" si="15"/>
        <v>1</v>
      </c>
      <c r="AB38" s="1810">
        <f t="shared" si="16"/>
        <v>1</v>
      </c>
      <c r="AC38" s="1810">
        <f t="shared" si="17"/>
        <v>1</v>
      </c>
    </row>
    <row r="39" spans="1:29" ht="16">
      <c r="A39" s="472"/>
      <c r="B39" s="422" t="s">
        <v>2566</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545"/>
      <c r="Q39" s="1809" t="str">
        <f t="shared" si="11"/>
        <v>市政基础设施</v>
      </c>
      <c r="R39" s="774" t="s">
        <v>21</v>
      </c>
      <c r="S39" s="775">
        <f t="shared" si="12"/>
        <v>100</v>
      </c>
      <c r="T39" s="774" t="s">
        <v>21</v>
      </c>
      <c r="U39" s="775">
        <f t="shared" si="13"/>
        <v>100</v>
      </c>
      <c r="V39" s="774" t="s">
        <v>21</v>
      </c>
      <c r="W39" s="775">
        <f t="shared" si="14"/>
        <v>100</v>
      </c>
      <c r="X39" s="1812"/>
      <c r="Y39" s="3507"/>
      <c r="Z39" s="1813" t="str">
        <f t="shared" si="18"/>
        <v>市政基础设施</v>
      </c>
      <c r="AA39" s="1810">
        <f t="shared" si="15"/>
        <v>1</v>
      </c>
      <c r="AB39" s="1810">
        <f t="shared" si="16"/>
        <v>1</v>
      </c>
      <c r="AC39" s="1810">
        <f t="shared" si="17"/>
        <v>1</v>
      </c>
    </row>
    <row r="40" spans="1:29" ht="16">
      <c r="A40" s="472"/>
      <c r="B40" s="422" t="s">
        <v>2567</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545"/>
      <c r="Q40" s="1809" t="str">
        <f t="shared" si="11"/>
        <v>房型</v>
      </c>
      <c r="R40" s="774" t="s">
        <v>21</v>
      </c>
      <c r="S40" s="775">
        <f t="shared" si="12"/>
        <v>100</v>
      </c>
      <c r="T40" s="774" t="s">
        <v>21</v>
      </c>
      <c r="U40" s="775">
        <f t="shared" si="13"/>
        <v>100</v>
      </c>
      <c r="V40" s="774" t="s">
        <v>21</v>
      </c>
      <c r="W40" s="775">
        <f t="shared" si="14"/>
        <v>100</v>
      </c>
      <c r="X40" s="1812"/>
      <c r="Y40" s="3507"/>
      <c r="Z40" s="1813" t="str">
        <f t="shared" si="18"/>
        <v>房型</v>
      </c>
      <c r="AA40" s="1810">
        <f t="shared" si="15"/>
        <v>1</v>
      </c>
      <c r="AB40" s="1810">
        <f t="shared" si="16"/>
        <v>1</v>
      </c>
      <c r="AC40" s="1810">
        <f t="shared" si="17"/>
        <v>1</v>
      </c>
    </row>
    <row r="41" spans="1:29" s="471" customFormat="1" ht="30">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545"/>
      <c r="Q41" s="776" t="str">
        <f t="shared" si="11"/>
        <v>单套/主力户型建筑面积</v>
      </c>
      <c r="R41" s="777" t="s">
        <v>21</v>
      </c>
      <c r="S41" s="778">
        <f t="shared" si="12"/>
        <v>100</v>
      </c>
      <c r="T41" s="777" t="s">
        <v>21</v>
      </c>
      <c r="U41" s="778">
        <f t="shared" si="13"/>
        <v>100</v>
      </c>
      <c r="V41" s="777" t="s">
        <v>21</v>
      </c>
      <c r="W41" s="778">
        <f t="shared" si="14"/>
        <v>100</v>
      </c>
      <c r="X41" s="779"/>
      <c r="Y41" s="3507"/>
      <c r="Z41" s="780" t="str">
        <f t="shared" si="18"/>
        <v>单套/主力户型建筑面积</v>
      </c>
      <c r="AA41" s="1810">
        <f t="shared" si="15"/>
        <v>1</v>
      </c>
      <c r="AB41" s="1810">
        <f t="shared" si="16"/>
        <v>1</v>
      </c>
      <c r="AC41" s="1810">
        <f t="shared" si="17"/>
        <v>1</v>
      </c>
    </row>
    <row r="42" spans="1:29" ht="16">
      <c r="A42" s="472"/>
      <c r="B42" s="422" t="s">
        <v>2569</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545"/>
      <c r="Q42" s="1809" t="str">
        <f t="shared" si="11"/>
        <v>内部装修</v>
      </c>
      <c r="R42" s="774" t="s">
        <v>21</v>
      </c>
      <c r="S42" s="775">
        <f t="shared" si="12"/>
        <v>100</v>
      </c>
      <c r="T42" s="774" t="s">
        <v>21</v>
      </c>
      <c r="U42" s="775">
        <f t="shared" si="13"/>
        <v>100</v>
      </c>
      <c r="V42" s="774" t="s">
        <v>21</v>
      </c>
      <c r="W42" s="775">
        <f t="shared" si="14"/>
        <v>100</v>
      </c>
      <c r="X42" s="1812"/>
      <c r="Y42" s="3507"/>
      <c r="Z42" s="1813" t="str">
        <f t="shared" si="18"/>
        <v>内部装修</v>
      </c>
      <c r="AA42" s="1810">
        <f t="shared" si="15"/>
        <v>1</v>
      </c>
      <c r="AB42" s="1810">
        <f t="shared" si="16"/>
        <v>1</v>
      </c>
      <c r="AC42" s="1810">
        <f t="shared" si="17"/>
        <v>1</v>
      </c>
    </row>
    <row r="43" spans="1:29" ht="16">
      <c r="A43" s="472"/>
      <c r="B43" s="422" t="s">
        <v>2570</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545"/>
      <c r="Q43" s="1809" t="str">
        <f t="shared" si="11"/>
        <v>内部装修维护情况</v>
      </c>
      <c r="R43" s="774" t="s">
        <v>21</v>
      </c>
      <c r="S43" s="775">
        <f t="shared" si="12"/>
        <v>100</v>
      </c>
      <c r="T43" s="774" t="s">
        <v>21</v>
      </c>
      <c r="U43" s="775">
        <f t="shared" si="13"/>
        <v>100</v>
      </c>
      <c r="V43" s="774" t="s">
        <v>21</v>
      </c>
      <c r="W43" s="775">
        <f t="shared" si="14"/>
        <v>100</v>
      </c>
      <c r="X43" s="1812"/>
      <c r="Y43" s="3507"/>
      <c r="Z43" s="1813" t="str">
        <f t="shared" si="18"/>
        <v>内部装修维护情况</v>
      </c>
      <c r="AA43" s="1810">
        <f t="shared" si="15"/>
        <v>1</v>
      </c>
      <c r="AB43" s="1810">
        <f t="shared" si="16"/>
        <v>1</v>
      </c>
      <c r="AC43" s="1810">
        <f t="shared" si="17"/>
        <v>1</v>
      </c>
    </row>
    <row r="44" spans="1:29" s="117" customFormat="1" ht="16">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545"/>
      <c r="Q44" s="1794">
        <f t="shared" si="11"/>
        <v>111</v>
      </c>
      <c r="R44" s="770" t="s">
        <v>21</v>
      </c>
      <c r="S44" s="771">
        <f t="shared" si="12"/>
        <v>100</v>
      </c>
      <c r="T44" s="770" t="s">
        <v>21</v>
      </c>
      <c r="U44" s="771">
        <f t="shared" si="13"/>
        <v>100</v>
      </c>
      <c r="V44" s="770" t="s">
        <v>21</v>
      </c>
      <c r="W44" s="771">
        <f t="shared" si="14"/>
        <v>100</v>
      </c>
      <c r="X44" s="772"/>
      <c r="Y44" s="3507"/>
      <c r="Z44" s="55">
        <f t="shared" si="18"/>
        <v>111</v>
      </c>
      <c r="AA44" s="773">
        <f t="shared" si="15"/>
        <v>1</v>
      </c>
      <c r="AB44" s="773">
        <f t="shared" si="16"/>
        <v>1</v>
      </c>
      <c r="AC44" s="773">
        <f t="shared" si="17"/>
        <v>1</v>
      </c>
    </row>
    <row r="45" spans="1:29" ht="16">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545"/>
      <c r="Q45" s="1809">
        <f t="shared" si="11"/>
        <v>111</v>
      </c>
      <c r="R45" s="774" t="s">
        <v>21</v>
      </c>
      <c r="S45" s="775">
        <f t="shared" si="12"/>
        <v>100</v>
      </c>
      <c r="T45" s="774" t="s">
        <v>21</v>
      </c>
      <c r="U45" s="775">
        <f t="shared" si="13"/>
        <v>100</v>
      </c>
      <c r="V45" s="774" t="s">
        <v>21</v>
      </c>
      <c r="W45" s="775">
        <f t="shared" si="14"/>
        <v>100</v>
      </c>
      <c r="X45" s="1812"/>
      <c r="Y45" s="3507"/>
      <c r="Z45" s="1813">
        <f t="shared" si="18"/>
        <v>111</v>
      </c>
      <c r="AA45" s="1810">
        <f t="shared" si="15"/>
        <v>1</v>
      </c>
      <c r="AB45" s="1810">
        <f t="shared" si="16"/>
        <v>1</v>
      </c>
      <c r="AC45" s="1810">
        <f t="shared" si="17"/>
        <v>1</v>
      </c>
    </row>
    <row r="46" spans="1:29" ht="17"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546"/>
      <c r="Q46" s="1809">
        <f t="shared" si="11"/>
        <v>111</v>
      </c>
      <c r="R46" s="774" t="s">
        <v>20</v>
      </c>
      <c r="S46" s="775">
        <f t="shared" si="12"/>
        <v>100</v>
      </c>
      <c r="T46" s="774" t="s">
        <v>20</v>
      </c>
      <c r="U46" s="775">
        <f t="shared" si="13"/>
        <v>100</v>
      </c>
      <c r="V46" s="774" t="s">
        <v>20</v>
      </c>
      <c r="W46" s="775">
        <f t="shared" si="14"/>
        <v>100</v>
      </c>
      <c r="X46" s="1812"/>
      <c r="Y46" s="3547"/>
      <c r="Z46" s="1813">
        <f t="shared" si="18"/>
        <v>111</v>
      </c>
      <c r="AA46" s="1810">
        <f t="shared" si="15"/>
        <v>1</v>
      </c>
      <c r="AB46" s="1810">
        <f t="shared" si="16"/>
        <v>1</v>
      </c>
      <c r="AC46" s="1810">
        <f t="shared" si="17"/>
        <v>1</v>
      </c>
    </row>
    <row r="47" spans="1:29" ht="15">
      <c r="A47" s="479" t="s">
        <v>2571</v>
      </c>
      <c r="B47" s="480"/>
      <c r="C47" s="1407" t="s">
        <v>19</v>
      </c>
      <c r="D47" s="1408"/>
      <c r="E47" s="1409"/>
      <c r="F47" s="1410"/>
      <c r="G47" s="1411"/>
      <c r="H47" s="1412"/>
      <c r="I47" s="1409"/>
      <c r="J47" s="1412"/>
      <c r="K47" s="2621"/>
      <c r="L47" s="1143"/>
      <c r="M47" s="1144"/>
      <c r="N47" s="1131"/>
      <c r="O47" s="1144"/>
      <c r="P47" s="3489" t="str">
        <f>A47</f>
        <v>成交单价（元/平方米）</v>
      </c>
      <c r="Q47" s="3489"/>
      <c r="R47" s="3543">
        <f>E47</f>
        <v>0</v>
      </c>
      <c r="S47" s="3543"/>
      <c r="T47" s="3543">
        <f>G47</f>
        <v>0</v>
      </c>
      <c r="U47" s="3543"/>
      <c r="V47" s="3543">
        <f>I47</f>
        <v>0</v>
      </c>
      <c r="W47" s="3543"/>
      <c r="X47" s="759"/>
      <c r="Y47" s="781"/>
      <c r="Z47" s="759"/>
      <c r="AA47" s="759"/>
      <c r="AB47" s="759"/>
      <c r="AC47" s="759"/>
    </row>
    <row r="48" spans="1:29" ht="15" thickBot="1">
      <c r="A48" s="486" t="s">
        <v>2572</v>
      </c>
      <c r="B48" s="487"/>
      <c r="C48" s="1413" t="e">
        <f>R49</f>
        <v>#DIV/0!</v>
      </c>
      <c r="D48" s="1414"/>
      <c r="E48" s="1415" t="e">
        <f>R48</f>
        <v>#DIV/0!</v>
      </c>
      <c r="F48" s="1415"/>
      <c r="G48" s="1413" t="e">
        <f>T48</f>
        <v>#DIV/0!</v>
      </c>
      <c r="H48" s="1414"/>
      <c r="I48" s="1415" t="e">
        <f>V48</f>
        <v>#DIV/0!</v>
      </c>
      <c r="J48" s="1414"/>
      <c r="K48" s="2622"/>
      <c r="L48" s="1143"/>
      <c r="M48" s="1144"/>
      <c r="N48" s="1144"/>
      <c r="O48" s="1144"/>
      <c r="P48" s="3489" t="str">
        <f>A48</f>
        <v>比较价值（元/平方米）</v>
      </c>
      <c r="Q48" s="3489"/>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759"/>
      <c r="Y48" s="759"/>
      <c r="Z48" s="759"/>
      <c r="AA48" s="759"/>
      <c r="AB48" s="759"/>
      <c r="AC48" s="759"/>
    </row>
    <row r="49" spans="1:29" ht="15" thickBot="1">
      <c r="A49" s="492" t="s">
        <v>2573</v>
      </c>
      <c r="B49" s="493"/>
      <c r="C49" s="1416" t="e">
        <f>R49</f>
        <v>#DIV/0!</v>
      </c>
      <c r="D49" s="1417"/>
      <c r="E49" s="1417"/>
      <c r="F49" s="1417"/>
      <c r="G49" s="1417"/>
      <c r="H49" s="1417"/>
      <c r="I49" s="1417"/>
      <c r="J49" s="1417"/>
      <c r="K49" s="2623"/>
      <c r="L49" s="1143"/>
      <c r="M49" s="1144"/>
      <c r="N49" s="1144"/>
      <c r="O49" s="1144"/>
      <c r="P49" s="3509" t="str">
        <f>A49</f>
        <v>估价对象XX用房的比较价值（楼面单价，元/平方米）</v>
      </c>
      <c r="Q49" s="3510"/>
      <c r="R49" s="3542" t="e">
        <f>IF(F1="售价",ROUND(AVERAGE(R48:V48),0),ROUND(AVERAGE(R48:V48),1))</f>
        <v>#DIV/0!</v>
      </c>
      <c r="S49" s="3542"/>
      <c r="T49" s="3542"/>
      <c r="U49" s="3542"/>
      <c r="V49" s="3542"/>
      <c r="W49" s="354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 thickBot="1">
      <c r="A57" s="763" t="s">
        <v>2577</v>
      </c>
      <c r="B57" s="759"/>
      <c r="C57" s="764"/>
      <c r="D57" s="764"/>
      <c r="E57" s="764"/>
      <c r="F57" s="765"/>
      <c r="G57" s="765"/>
      <c r="H57" s="764"/>
      <c r="I57" s="764"/>
      <c r="J57" s="764"/>
      <c r="K57" s="1160"/>
      <c r="L57" s="1161"/>
      <c r="M57" s="1159"/>
      <c r="N57" s="1159"/>
      <c r="O57" s="1159"/>
      <c r="P57" s="2626"/>
      <c r="Q57" s="504"/>
    </row>
    <row r="58" spans="1:29" s="508" customFormat="1" ht="15">
      <c r="A58" s="505" t="s">
        <v>2578</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7"/>
      <c r="C59" s="1572">
        <v>100</v>
      </c>
      <c r="D59" s="511"/>
      <c r="E59" s="512"/>
      <c r="F59" s="512"/>
      <c r="G59" s="512"/>
      <c r="H59" s="512"/>
      <c r="I59" s="512"/>
      <c r="J59" s="512"/>
      <c r="K59" s="512"/>
      <c r="L59" s="512"/>
      <c r="M59" s="513"/>
      <c r="N59" s="512"/>
      <c r="O59" s="513"/>
      <c r="P59" s="2628"/>
    </row>
    <row r="60" spans="1:29" s="117" customFormat="1" ht="15" thickBot="1">
      <c r="A60" s="515" t="s">
        <v>2579</v>
      </c>
      <c r="B60" s="516"/>
      <c r="C60" s="517"/>
      <c r="D60" s="518"/>
      <c r="E60" s="518"/>
      <c r="F60" s="518"/>
      <c r="G60" s="518"/>
      <c r="H60" s="518"/>
      <c r="I60" s="518"/>
      <c r="J60" s="518"/>
      <c r="K60" s="518"/>
      <c r="L60" s="518"/>
      <c r="M60" s="519"/>
      <c r="N60" s="518"/>
      <c r="O60" s="519"/>
      <c r="P60" s="2628"/>
      <c r="Q60" s="504"/>
    </row>
    <row r="61" spans="1:29" s="117" customFormat="1" ht="15">
      <c r="A61" s="521" t="s">
        <v>2580</v>
      </c>
      <c r="B61" s="510"/>
      <c r="C61" s="522" t="s">
        <v>2581</v>
      </c>
      <c r="D61" s="523"/>
      <c r="E61" s="523"/>
      <c r="F61" s="523"/>
      <c r="G61" s="523"/>
      <c r="H61" s="523"/>
      <c r="I61" s="523"/>
      <c r="J61" s="523"/>
      <c r="K61" s="523"/>
      <c r="L61" s="524"/>
      <c r="M61" s="525"/>
      <c r="N61" s="1151"/>
      <c r="O61" s="1151"/>
      <c r="P61" s="2629"/>
      <c r="Q61" s="504"/>
    </row>
    <row r="62" spans="1:29" s="117" customFormat="1" ht="15" thickBot="1">
      <c r="A62" s="521"/>
      <c r="B62" s="510"/>
      <c r="C62" s="511">
        <v>100</v>
      </c>
      <c r="D62" s="512"/>
      <c r="E62" s="512"/>
      <c r="F62" s="512"/>
      <c r="G62" s="512"/>
      <c r="H62" s="512"/>
      <c r="I62" s="512"/>
      <c r="J62" s="512"/>
      <c r="K62" s="512"/>
      <c r="L62" s="512"/>
      <c r="M62" s="514"/>
      <c r="N62" s="1151"/>
      <c r="O62" s="1151"/>
      <c r="P62" s="2628"/>
      <c r="Q62" s="504"/>
    </row>
    <row r="63" spans="1:29" ht="15">
      <c r="A63" s="527" t="s">
        <v>2582</v>
      </c>
      <c r="B63" s="528" t="s">
        <v>2548</v>
      </c>
      <c r="C63" s="529">
        <f>C9</f>
        <v>0</v>
      </c>
      <c r="D63" s="530"/>
      <c r="E63" s="530"/>
      <c r="F63" s="530"/>
      <c r="G63" s="530"/>
      <c r="H63" s="530"/>
      <c r="I63" s="530"/>
      <c r="J63" s="530"/>
      <c r="K63" s="531"/>
      <c r="L63" s="532"/>
      <c r="M63" s="533"/>
      <c r="N63" s="1152"/>
      <c r="O63" s="1152"/>
      <c r="P63" s="2630"/>
      <c r="Q63" s="504"/>
    </row>
    <row r="64" spans="1:29" ht="15" thickBot="1">
      <c r="A64" s="534"/>
      <c r="B64" s="535"/>
      <c r="C64" s="536">
        <v>100</v>
      </c>
      <c r="D64" s="536"/>
      <c r="E64" s="536"/>
      <c r="F64" s="536"/>
      <c r="G64" s="536"/>
      <c r="H64" s="536"/>
      <c r="I64" s="536"/>
      <c r="J64" s="536"/>
      <c r="K64" s="536"/>
      <c r="L64" s="536"/>
      <c r="M64" s="537"/>
      <c r="N64" s="1153"/>
      <c r="O64" s="1153"/>
      <c r="P64" s="2630"/>
      <c r="Q64" s="504"/>
    </row>
    <row r="65" spans="1:17" ht="31"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0"/>
      <c r="Q65" s="504"/>
    </row>
    <row r="66" spans="1:17" ht="1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6"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 thickTop="1">
      <c r="A70" s="553"/>
      <c r="B70" s="538">
        <f>B12</f>
        <v>111</v>
      </c>
      <c r="C70" s="554"/>
      <c r="D70" s="554"/>
      <c r="E70" s="554"/>
      <c r="F70" s="554"/>
      <c r="G70" s="554"/>
      <c r="H70" s="555"/>
      <c r="I70" s="555"/>
      <c r="J70" s="555"/>
      <c r="K70" s="555"/>
      <c r="L70" s="556"/>
      <c r="M70" s="557"/>
      <c r="N70" s="1154"/>
      <c r="O70" s="1154"/>
      <c r="P70" s="2631"/>
      <c r="Q70" s="559"/>
    </row>
    <row r="71" spans="1:17" s="471" customFormat="1" ht="15" thickBot="1">
      <c r="A71" s="553"/>
      <c r="B71" s="543"/>
      <c r="C71" s="560"/>
      <c r="D71" s="536"/>
      <c r="E71" s="536"/>
      <c r="F71" s="536"/>
      <c r="G71" s="536"/>
      <c r="H71" s="536"/>
      <c r="I71" s="536"/>
      <c r="J71" s="536"/>
      <c r="K71" s="536"/>
      <c r="L71" s="536"/>
      <c r="M71" s="537"/>
      <c r="N71" s="1153"/>
      <c r="O71" s="1153"/>
      <c r="P71" s="2631"/>
      <c r="Q71" s="559"/>
    </row>
    <row r="72" spans="1:17" s="471" customFormat="1" ht="15" thickTop="1">
      <c r="A72" s="553"/>
      <c r="B72" s="538">
        <f>B13</f>
        <v>111</v>
      </c>
      <c r="C72" s="554"/>
      <c r="D72" s="554"/>
      <c r="E72" s="554"/>
      <c r="F72" s="554"/>
      <c r="G72" s="554"/>
      <c r="H72" s="555"/>
      <c r="I72" s="555"/>
      <c r="J72" s="555"/>
      <c r="K72" s="555"/>
      <c r="L72" s="556"/>
      <c r="M72" s="557"/>
      <c r="N72" s="1154"/>
      <c r="O72" s="1154"/>
      <c r="P72" s="2632"/>
      <c r="Q72" s="561"/>
    </row>
    <row r="73" spans="1:17" s="471" customFormat="1" ht="15" thickBot="1">
      <c r="A73" s="553"/>
      <c r="B73" s="543"/>
      <c r="C73" s="560"/>
      <c r="D73" s="560"/>
      <c r="E73" s="560"/>
      <c r="F73" s="560"/>
      <c r="G73" s="560"/>
      <c r="H73" s="562"/>
      <c r="I73" s="562"/>
      <c r="J73" s="562"/>
      <c r="K73" s="562"/>
      <c r="L73" s="562"/>
      <c r="M73" s="563"/>
      <c r="N73" s="1154"/>
      <c r="O73" s="1154"/>
      <c r="P73" s="2631"/>
      <c r="Q73" s="559"/>
    </row>
    <row r="74" spans="1:17" s="471" customFormat="1" ht="15" thickTop="1">
      <c r="A74" s="553"/>
      <c r="B74" s="546">
        <f>B14</f>
        <v>111</v>
      </c>
      <c r="C74" s="554"/>
      <c r="D74" s="554"/>
      <c r="E74" s="554"/>
      <c r="F74" s="554"/>
      <c r="G74" s="523"/>
      <c r="H74" s="564"/>
      <c r="I74" s="564"/>
      <c r="J74" s="564"/>
      <c r="K74" s="564"/>
      <c r="L74" s="565"/>
      <c r="M74" s="566"/>
      <c r="N74" s="1154"/>
      <c r="O74" s="1154"/>
      <c r="P74" s="2633"/>
      <c r="Q74" s="559"/>
    </row>
    <row r="75" spans="1:17" s="471" customFormat="1" ht="15" thickBot="1">
      <c r="A75" s="568"/>
      <c r="B75" s="569"/>
      <c r="C75" s="570"/>
      <c r="D75" s="570"/>
      <c r="E75" s="570"/>
      <c r="F75" s="570"/>
      <c r="G75" s="570"/>
      <c r="H75" s="571"/>
      <c r="I75" s="571"/>
      <c r="J75" s="571"/>
      <c r="K75" s="571"/>
      <c r="L75" s="571"/>
      <c r="M75" s="572"/>
      <c r="N75" s="1154"/>
      <c r="O75" s="1154"/>
      <c r="P75" s="2631"/>
      <c r="Q75" s="559"/>
    </row>
    <row r="76" spans="1:17" ht="15">
      <c r="A76" s="527" t="s">
        <v>2553</v>
      </c>
      <c r="B76" s="528" t="s">
        <v>2590</v>
      </c>
      <c r="C76" s="573" t="s">
        <v>2591</v>
      </c>
      <c r="D76" s="573" t="s">
        <v>2592</v>
      </c>
      <c r="E76" s="573" t="s">
        <v>2593</v>
      </c>
      <c r="F76" s="573" t="s">
        <v>2594</v>
      </c>
      <c r="G76" s="573" t="s">
        <v>2595</v>
      </c>
      <c r="H76" s="529"/>
      <c r="I76" s="529"/>
      <c r="J76" s="529"/>
      <c r="K76" s="574"/>
      <c r="L76" s="575"/>
      <c r="M76" s="576"/>
      <c r="N76" s="1152"/>
      <c r="O76" s="1152"/>
      <c r="P76" s="2634"/>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6" thickTop="1">
      <c r="A78" s="534"/>
      <c r="B78" s="538" t="s">
        <v>2596</v>
      </c>
      <c r="C78" s="578" t="s">
        <v>2591</v>
      </c>
      <c r="D78" s="578" t="s">
        <v>2592</v>
      </c>
      <c r="E78" s="578" t="s">
        <v>2593</v>
      </c>
      <c r="F78" s="578" t="s">
        <v>2594</v>
      </c>
      <c r="G78" s="578" t="s">
        <v>2595</v>
      </c>
      <c r="H78" s="539"/>
      <c r="I78" s="539"/>
      <c r="J78" s="539"/>
      <c r="K78" s="540"/>
      <c r="L78" s="541"/>
      <c r="M78" s="542"/>
      <c r="N78" s="1152"/>
      <c r="O78" s="1152"/>
      <c r="P78" s="2630"/>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6" thickTop="1">
      <c r="A80" s="534"/>
      <c r="B80" s="538" t="s">
        <v>2597</v>
      </c>
      <c r="C80" s="578" t="s">
        <v>2591</v>
      </c>
      <c r="D80" s="578" t="s">
        <v>2592</v>
      </c>
      <c r="E80" s="578" t="s">
        <v>2593</v>
      </c>
      <c r="F80" s="578" t="s">
        <v>2594</v>
      </c>
      <c r="G80" s="578" t="s">
        <v>2595</v>
      </c>
      <c r="H80" s="539"/>
      <c r="I80" s="539"/>
      <c r="J80" s="539"/>
      <c r="K80" s="540"/>
      <c r="L80" s="541"/>
      <c r="M80" s="542"/>
      <c r="N80" s="1152"/>
      <c r="O80" s="1152"/>
      <c r="P80" s="2630"/>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6" thickTop="1">
      <c r="A82" s="534"/>
      <c r="B82" s="546" t="s">
        <v>2097</v>
      </c>
      <c r="C82" s="539" t="s">
        <v>2598</v>
      </c>
      <c r="D82" s="539" t="s">
        <v>2599</v>
      </c>
      <c r="E82" s="539" t="s">
        <v>2600</v>
      </c>
      <c r="F82" s="539" t="s">
        <v>2601</v>
      </c>
      <c r="G82" s="539" t="s">
        <v>2602</v>
      </c>
      <c r="H82" s="539"/>
      <c r="I82" s="539"/>
      <c r="J82" s="539"/>
      <c r="K82" s="539"/>
      <c r="L82" s="539"/>
      <c r="M82" s="1382"/>
      <c r="N82" s="1153"/>
      <c r="O82" s="1153"/>
      <c r="P82" s="2630"/>
      <c r="Q82" s="504"/>
    </row>
    <row r="83" spans="1:17" ht="1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6" thickTop="1">
      <c r="A84" s="534"/>
      <c r="B84" s="538" t="s">
        <v>2603</v>
      </c>
      <c r="C84" s="578" t="s">
        <v>2591</v>
      </c>
      <c r="D84" s="578" t="s">
        <v>2592</v>
      </c>
      <c r="E84" s="578" t="s">
        <v>2593</v>
      </c>
      <c r="F84" s="578" t="s">
        <v>2594</v>
      </c>
      <c r="G84" s="578" t="s">
        <v>2595</v>
      </c>
      <c r="H84" s="539"/>
      <c r="I84" s="539"/>
      <c r="J84" s="539"/>
      <c r="K84" s="540"/>
      <c r="L84" s="541"/>
      <c r="M84" s="542"/>
      <c r="N84" s="1152"/>
      <c r="O84" s="1152"/>
      <c r="P84" s="2630"/>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6" thickTop="1">
      <c r="A86" s="579"/>
      <c r="B86" s="538" t="s">
        <v>2604</v>
      </c>
      <c r="C86" s="554"/>
      <c r="D86" s="554"/>
      <c r="E86" s="554"/>
      <c r="F86" s="554"/>
      <c r="G86" s="554"/>
      <c r="H86" s="554"/>
      <c r="I86" s="554"/>
      <c r="J86" s="554"/>
      <c r="K86" s="554"/>
      <c r="L86" s="580"/>
      <c r="M86" s="581"/>
      <c r="N86" s="1151"/>
      <c r="O86" s="1151"/>
      <c r="P86" s="2630"/>
      <c r="Q86" s="504"/>
    </row>
    <row r="87" spans="1:17" s="117" customFormat="1" ht="1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6" thickTop="1">
      <c r="A88" s="579"/>
      <c r="B88" s="538" t="s">
        <v>2605</v>
      </c>
      <c r="C88" s="554"/>
      <c r="D88" s="554"/>
      <c r="E88" s="554"/>
      <c r="F88" s="2635"/>
      <c r="G88" s="554"/>
      <c r="H88" s="554"/>
      <c r="I88" s="554"/>
      <c r="J88" s="554"/>
      <c r="K88" s="554"/>
      <c r="L88" s="554"/>
      <c r="M88" s="581"/>
      <c r="N88" s="1151"/>
      <c r="O88" s="1151"/>
      <c r="P88" s="2630"/>
      <c r="Q88" s="504"/>
    </row>
    <row r="89" spans="1:17" s="117" customFormat="1" ht="1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 thickTop="1">
      <c r="A90" s="553"/>
      <c r="B90" s="538">
        <f>B27</f>
        <v>111</v>
      </c>
      <c r="C90" s="554"/>
      <c r="D90" s="554"/>
      <c r="E90" s="554"/>
      <c r="F90" s="554"/>
      <c r="G90" s="554"/>
      <c r="H90" s="555"/>
      <c r="I90" s="555"/>
      <c r="J90" s="555"/>
      <c r="K90" s="555"/>
      <c r="L90" s="556"/>
      <c r="M90" s="557"/>
      <c r="N90" s="1154"/>
      <c r="O90" s="1154"/>
      <c r="P90" s="2631"/>
      <c r="Q90" s="559"/>
    </row>
    <row r="91" spans="1:17" s="471" customFormat="1" ht="15" thickBot="1">
      <c r="A91" s="553"/>
      <c r="B91" s="543"/>
      <c r="C91" s="560"/>
      <c r="D91" s="560"/>
      <c r="E91" s="560"/>
      <c r="F91" s="560"/>
      <c r="G91" s="560"/>
      <c r="H91" s="562"/>
      <c r="I91" s="562"/>
      <c r="J91" s="562"/>
      <c r="K91" s="562"/>
      <c r="L91" s="562"/>
      <c r="M91" s="563"/>
      <c r="N91" s="1154"/>
      <c r="O91" s="1154"/>
      <c r="P91" s="2631"/>
      <c r="Q91" s="559"/>
    </row>
    <row r="92" spans="1:17" ht="15" thickTop="1">
      <c r="A92" s="534"/>
      <c r="B92" s="538">
        <f>B28</f>
        <v>111</v>
      </c>
      <c r="C92" s="554"/>
      <c r="D92" s="554"/>
      <c r="E92" s="554"/>
      <c r="F92" s="554"/>
      <c r="G92" s="583"/>
      <c r="H92" s="583"/>
      <c r="I92" s="583"/>
      <c r="J92" s="583"/>
      <c r="K92" s="584"/>
      <c r="L92" s="585"/>
      <c r="M92" s="586"/>
      <c r="N92" s="1152"/>
      <c r="O92" s="1152"/>
      <c r="P92" s="2630"/>
      <c r="Q92" s="504"/>
    </row>
    <row r="93" spans="1:17" ht="15" thickBot="1">
      <c r="A93" s="534"/>
      <c r="B93" s="543"/>
      <c r="C93" s="560"/>
      <c r="D93" s="536"/>
      <c r="E93" s="536"/>
      <c r="F93" s="536"/>
      <c r="G93" s="536"/>
      <c r="H93" s="536"/>
      <c r="I93" s="536"/>
      <c r="J93" s="536"/>
      <c r="K93" s="536"/>
      <c r="L93" s="536"/>
      <c r="M93" s="537"/>
      <c r="N93" s="1153"/>
      <c r="O93" s="1153"/>
      <c r="P93" s="2630"/>
      <c r="Q93" s="504"/>
    </row>
    <row r="94" spans="1:17" ht="15" thickTop="1">
      <c r="A94" s="534"/>
      <c r="B94" s="538">
        <f>B29</f>
        <v>111</v>
      </c>
      <c r="C94" s="554"/>
      <c r="D94" s="554"/>
      <c r="E94" s="554"/>
      <c r="F94" s="554"/>
      <c r="G94" s="583"/>
      <c r="H94" s="583"/>
      <c r="I94" s="583"/>
      <c r="J94" s="583"/>
      <c r="K94" s="584"/>
      <c r="L94" s="585"/>
      <c r="M94" s="586"/>
      <c r="N94" s="1152"/>
      <c r="O94" s="1152"/>
      <c r="P94" s="2630"/>
      <c r="Q94" s="504"/>
    </row>
    <row r="95" spans="1:17" ht="15" thickBot="1">
      <c r="A95" s="534"/>
      <c r="B95" s="543"/>
      <c r="C95" s="560"/>
      <c r="D95" s="560"/>
      <c r="E95" s="560"/>
      <c r="F95" s="560"/>
      <c r="G95" s="536"/>
      <c r="H95" s="536"/>
      <c r="I95" s="536"/>
      <c r="J95" s="536"/>
      <c r="K95" s="536"/>
      <c r="L95" s="536"/>
      <c r="M95" s="537"/>
      <c r="N95" s="1153"/>
      <c r="O95" s="1153"/>
      <c r="P95" s="2630"/>
      <c r="Q95" s="504"/>
    </row>
    <row r="96" spans="1:17" ht="15" thickTop="1">
      <c r="A96" s="534"/>
      <c r="B96" s="538">
        <f>B30</f>
        <v>111</v>
      </c>
      <c r="C96" s="554"/>
      <c r="D96" s="554"/>
      <c r="E96" s="554"/>
      <c r="F96" s="554"/>
      <c r="G96" s="583"/>
      <c r="H96" s="583"/>
      <c r="I96" s="583"/>
      <c r="J96" s="583"/>
      <c r="K96" s="584"/>
      <c r="L96" s="585"/>
      <c r="M96" s="586"/>
      <c r="N96" s="1152"/>
      <c r="O96" s="1152"/>
      <c r="P96" s="2630"/>
      <c r="Q96" s="504"/>
    </row>
    <row r="97" spans="1:17" ht="15" thickBot="1">
      <c r="A97" s="534"/>
      <c r="B97" s="543"/>
      <c r="C97" s="570"/>
      <c r="D97" s="570"/>
      <c r="E97" s="570"/>
      <c r="F97" s="570"/>
      <c r="G97" s="536"/>
      <c r="H97" s="536"/>
      <c r="I97" s="536"/>
      <c r="J97" s="536"/>
      <c r="K97" s="536"/>
      <c r="L97" s="536"/>
      <c r="M97" s="537"/>
      <c r="N97" s="1153"/>
      <c r="O97" s="1153"/>
      <c r="P97" s="2630"/>
      <c r="Q97" s="504"/>
    </row>
    <row r="98" spans="1:17" ht="15" thickTop="1">
      <c r="A98" s="534"/>
      <c r="B98" s="546">
        <f>B31</f>
        <v>111</v>
      </c>
      <c r="C98" s="587"/>
      <c r="D98" s="587"/>
      <c r="E98" s="587"/>
      <c r="F98" s="587"/>
      <c r="G98" s="587"/>
      <c r="H98" s="587"/>
      <c r="I98" s="587"/>
      <c r="J98" s="587"/>
      <c r="K98" s="588"/>
      <c r="L98" s="589"/>
      <c r="M98" s="590"/>
      <c r="N98" s="1152"/>
      <c r="O98" s="1152"/>
      <c r="P98" s="2630"/>
      <c r="Q98" s="504"/>
    </row>
    <row r="99" spans="1:17" ht="15" thickBot="1">
      <c r="A99" s="2636"/>
      <c r="B99" s="569"/>
      <c r="C99" s="591"/>
      <c r="D99" s="591"/>
      <c r="E99" s="591"/>
      <c r="F99" s="591"/>
      <c r="G99" s="591"/>
      <c r="H99" s="591"/>
      <c r="I99" s="591"/>
      <c r="J99" s="591"/>
      <c r="K99" s="591"/>
      <c r="L99" s="591"/>
      <c r="M99" s="592"/>
      <c r="N99" s="1153"/>
      <c r="O99" s="1153"/>
      <c r="P99" s="2630"/>
      <c r="Q99" s="504"/>
    </row>
    <row r="100" spans="1:17" ht="15">
      <c r="A100" s="527" t="s">
        <v>2557</v>
      </c>
      <c r="B100" s="528" t="s">
        <v>2606</v>
      </c>
      <c r="C100" s="530"/>
      <c r="D100" s="530"/>
      <c r="E100" s="530"/>
      <c r="F100" s="530"/>
      <c r="G100" s="530"/>
      <c r="H100" s="530"/>
      <c r="I100" s="530"/>
      <c r="J100" s="530"/>
      <c r="K100" s="531"/>
      <c r="L100" s="532"/>
      <c r="M100" s="533"/>
      <c r="N100" s="1152"/>
      <c r="O100" s="1152"/>
      <c r="P100" s="2630"/>
      <c r="Q100" s="504"/>
    </row>
    <row r="101" spans="1:17" ht="1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6"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 thickBot="1">
      <c r="A104" s="553"/>
      <c r="B104" s="543"/>
      <c r="C104" s="560"/>
      <c r="D104" s="536"/>
      <c r="E104" s="536"/>
      <c r="F104" s="536"/>
      <c r="G104" s="536"/>
      <c r="H104" s="536"/>
      <c r="I104" s="536"/>
      <c r="J104" s="536"/>
      <c r="K104" s="536"/>
      <c r="L104" s="536"/>
      <c r="M104" s="536"/>
      <c r="N104" s="1153"/>
      <c r="O104" s="1153"/>
      <c r="P104" s="2631"/>
      <c r="Q104" s="559"/>
    </row>
    <row r="105" spans="1:17" ht="16" thickTop="1">
      <c r="A105" s="599"/>
      <c r="B105" s="538" t="s">
        <v>2608</v>
      </c>
      <c r="C105" s="554"/>
      <c r="D105" s="554"/>
      <c r="E105" s="583"/>
      <c r="F105" s="583"/>
      <c r="G105" s="583"/>
      <c r="H105" s="583"/>
      <c r="I105" s="583"/>
      <c r="J105" s="583"/>
      <c r="K105" s="584"/>
      <c r="L105" s="585"/>
      <c r="M105" s="586"/>
      <c r="N105" s="1152"/>
      <c r="O105" s="1152"/>
      <c r="P105" s="2630"/>
      <c r="Q105" s="504"/>
    </row>
    <row r="106" spans="1:17" ht="1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6" thickTop="1">
      <c r="A107" s="599"/>
      <c r="B107" s="538" t="s">
        <v>2609</v>
      </c>
      <c r="C107" s="583"/>
      <c r="D107" s="583"/>
      <c r="E107" s="583"/>
      <c r="F107" s="583"/>
      <c r="G107" s="583"/>
      <c r="H107" s="583"/>
      <c r="I107" s="583"/>
      <c r="J107" s="583"/>
      <c r="K107" s="584"/>
      <c r="L107" s="585"/>
      <c r="M107" s="586"/>
      <c r="N107" s="1152"/>
      <c r="O107" s="1152"/>
      <c r="P107" s="2630"/>
      <c r="Q107" s="504"/>
    </row>
    <row r="108" spans="1:17" ht="1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6" thickTop="1">
      <c r="A109" s="599"/>
      <c r="B109" s="538" t="s">
        <v>2610</v>
      </c>
      <c r="C109" s="554"/>
      <c r="D109" s="554"/>
      <c r="E109" s="554"/>
      <c r="F109" s="583"/>
      <c r="G109" s="583"/>
      <c r="H109" s="583"/>
      <c r="I109" s="583"/>
      <c r="J109" s="583"/>
      <c r="K109" s="584"/>
      <c r="L109" s="585"/>
      <c r="M109" s="586"/>
      <c r="N109" s="1152"/>
      <c r="O109" s="1152"/>
      <c r="P109" s="2630"/>
      <c r="Q109" s="504"/>
    </row>
    <row r="110" spans="1:17" ht="1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6"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6" thickTop="1">
      <c r="A114" s="599"/>
      <c r="B114" s="538" t="s">
        <v>2611</v>
      </c>
      <c r="C114" s="554"/>
      <c r="D114" s="554"/>
      <c r="E114" s="583"/>
      <c r="F114" s="583"/>
      <c r="G114" s="583"/>
      <c r="H114" s="583"/>
      <c r="I114" s="583"/>
      <c r="J114" s="583"/>
      <c r="K114" s="584"/>
      <c r="L114" s="585"/>
      <c r="M114" s="586"/>
      <c r="N114" s="1152"/>
      <c r="O114" s="1152"/>
      <c r="P114" s="2630"/>
      <c r="Q114" s="504"/>
    </row>
    <row r="115" spans="1:17" ht="1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6" thickTop="1">
      <c r="A116" s="599"/>
      <c r="B116" s="538" t="s">
        <v>2612</v>
      </c>
      <c r="C116" s="554"/>
      <c r="D116" s="554"/>
      <c r="E116" s="554"/>
      <c r="F116" s="554"/>
      <c r="G116" s="554"/>
      <c r="H116" s="583"/>
      <c r="I116" s="583"/>
      <c r="J116" s="583"/>
      <c r="K116" s="584"/>
      <c r="L116" s="585"/>
      <c r="M116" s="586"/>
      <c r="N116" s="1152"/>
      <c r="O116" s="1152"/>
      <c r="P116" s="2630"/>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6" thickTop="1">
      <c r="A118" s="599"/>
      <c r="B118" s="538" t="s">
        <v>2613</v>
      </c>
      <c r="C118" s="583"/>
      <c r="D118" s="583"/>
      <c r="E118" s="583"/>
      <c r="F118" s="583"/>
      <c r="G118" s="583"/>
      <c r="H118" s="583"/>
      <c r="I118" s="583"/>
      <c r="J118" s="583"/>
      <c r="K118" s="584"/>
      <c r="L118" s="585"/>
      <c r="M118" s="586"/>
      <c r="N118" s="1152"/>
      <c r="O118" s="1152"/>
      <c r="P118" s="2630"/>
      <c r="Q118" s="504"/>
    </row>
    <row r="119" spans="1:17" ht="1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31" thickTop="1">
      <c r="A120" s="593"/>
      <c r="B120" s="538" t="s">
        <v>2568</v>
      </c>
      <c r="C120" s="554"/>
      <c r="D120" s="554"/>
      <c r="E120" s="554"/>
      <c r="F120" s="554"/>
      <c r="G120" s="554"/>
      <c r="H120" s="554"/>
      <c r="I120" s="554"/>
      <c r="J120" s="554"/>
      <c r="K120" s="554"/>
      <c r="L120" s="580"/>
      <c r="M120" s="581"/>
      <c r="N120" s="1154"/>
      <c r="O120" s="1154"/>
      <c r="P120" s="2631"/>
      <c r="Q120" s="559"/>
    </row>
    <row r="121" spans="1:17" s="471" customFormat="1" ht="15" thickBot="1">
      <c r="A121" s="553"/>
      <c r="B121" s="535"/>
      <c r="C121" s="560"/>
      <c r="D121" s="536"/>
      <c r="E121" s="536"/>
      <c r="F121" s="536"/>
      <c r="G121" s="536"/>
      <c r="H121" s="536"/>
      <c r="I121" s="536"/>
      <c r="J121" s="536"/>
      <c r="K121" s="536"/>
      <c r="L121" s="536"/>
      <c r="M121" s="536"/>
      <c r="N121" s="1154"/>
      <c r="O121" s="1154"/>
      <c r="P121" s="2631"/>
      <c r="Q121" s="559"/>
    </row>
    <row r="122" spans="1:17" ht="16" thickTop="1">
      <c r="A122" s="599"/>
      <c r="B122" s="538" t="s">
        <v>2614</v>
      </c>
      <c r="C122" s="554"/>
      <c r="D122" s="554"/>
      <c r="E122" s="554"/>
      <c r="F122" s="583"/>
      <c r="G122" s="583"/>
      <c r="H122" s="583"/>
      <c r="I122" s="583"/>
      <c r="J122" s="583"/>
      <c r="K122" s="584"/>
      <c r="L122" s="585"/>
      <c r="M122" s="586"/>
      <c r="N122" s="1152"/>
      <c r="O122" s="1152"/>
      <c r="P122" s="2630"/>
      <c r="Q122" s="504"/>
    </row>
    <row r="123" spans="1:17" ht="1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6"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1"/>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2616</v>
      </c>
    </row>
    <row r="137" spans="1:17" ht="16">
      <c r="B137" s="2638" t="s">
        <v>2617</v>
      </c>
      <c r="C137" s="2639"/>
      <c r="D137" s="2639"/>
      <c r="E137" s="2639"/>
      <c r="F137" s="2639"/>
      <c r="G137" s="2640"/>
      <c r="H137" s="2641"/>
      <c r="I137" s="2642" t="s">
        <v>2618</v>
      </c>
      <c r="J137" s="2639"/>
      <c r="K137" s="2643"/>
    </row>
    <row r="138" spans="1:17" ht="16">
      <c r="B138" s="2644"/>
      <c r="C138" s="146" t="s">
        <v>2619</v>
      </c>
      <c r="D138" s="146" t="s">
        <v>2620</v>
      </c>
      <c r="E138" s="2645" t="s">
        <v>2621</v>
      </c>
      <c r="F138" s="2646" t="s">
        <v>2622</v>
      </c>
      <c r="G138" s="146" t="s">
        <v>2620</v>
      </c>
      <c r="H138" s="147" t="s">
        <v>2621</v>
      </c>
      <c r="I138" s="2647"/>
      <c r="J138" s="146" t="s">
        <v>2623</v>
      </c>
      <c r="K138" s="147" t="s">
        <v>2624</v>
      </c>
    </row>
    <row r="139" spans="1:17" ht="16">
      <c r="B139" s="1084">
        <v>6</v>
      </c>
      <c r="C139" s="1085">
        <v>96</v>
      </c>
      <c r="D139" s="2648" t="s">
        <v>2625</v>
      </c>
      <c r="E139" s="1086">
        <v>100</v>
      </c>
      <c r="F139" s="1087">
        <v>102.5</v>
      </c>
      <c r="G139" s="2648" t="s">
        <v>2625</v>
      </c>
      <c r="H139" s="1088">
        <v>105</v>
      </c>
      <c r="I139" s="2649" t="s">
        <v>2626</v>
      </c>
      <c r="J139" s="1085">
        <v>20</v>
      </c>
      <c r="K139" s="1089">
        <f>C145/(J139-2)</f>
        <v>4.0555555555555553E-3</v>
      </c>
    </row>
    <row r="140" spans="1:17" ht="16">
      <c r="B140" s="1090">
        <v>5</v>
      </c>
      <c r="C140" s="1091">
        <v>100</v>
      </c>
      <c r="D140" s="1091"/>
      <c r="E140" s="1092"/>
      <c r="F140" s="1093">
        <v>102</v>
      </c>
      <c r="G140" s="1091"/>
      <c r="H140" s="1094"/>
      <c r="I140" s="2650" t="s">
        <v>2627</v>
      </c>
      <c r="J140" s="315">
        <f>ROUNDUP((J139-1)/2,0)</f>
        <v>10</v>
      </c>
      <c r="K140" s="1095">
        <v>100</v>
      </c>
    </row>
    <row r="141" spans="1:17" ht="16">
      <c r="B141" s="1090">
        <v>4</v>
      </c>
      <c r="C141" s="1091">
        <v>102</v>
      </c>
      <c r="D141" s="1091"/>
      <c r="E141" s="1092"/>
      <c r="F141" s="1093">
        <v>101.5</v>
      </c>
      <c r="G141" s="1091"/>
      <c r="H141" s="1094"/>
      <c r="I141" s="2650" t="s">
        <v>2628</v>
      </c>
      <c r="J141" s="315">
        <v>1</v>
      </c>
      <c r="K141" s="1096">
        <f>ROUND(100+(J141-J140)*K139*100,1)</f>
        <v>96.4</v>
      </c>
    </row>
    <row r="142" spans="1:17" ht="16">
      <c r="B142" s="1090">
        <v>3</v>
      </c>
      <c r="C142" s="1091">
        <v>103</v>
      </c>
      <c r="D142" s="1091"/>
      <c r="E142" s="1092"/>
      <c r="F142" s="1093">
        <v>101</v>
      </c>
      <c r="G142" s="1091"/>
      <c r="H142" s="1094"/>
      <c r="I142" s="2650" t="s">
        <v>2629</v>
      </c>
      <c r="J142" s="315">
        <f>J139</f>
        <v>20</v>
      </c>
      <c r="K142" s="1097">
        <v>95</v>
      </c>
    </row>
    <row r="143" spans="1:17" ht="16">
      <c r="B143" s="1090">
        <v>2</v>
      </c>
      <c r="C143" s="1091">
        <v>100</v>
      </c>
      <c r="D143" s="1091"/>
      <c r="E143" s="1092"/>
      <c r="F143" s="1093">
        <v>100.5</v>
      </c>
      <c r="G143" s="1091"/>
      <c r="H143" s="1094"/>
      <c r="I143" s="2650" t="s">
        <v>2630</v>
      </c>
      <c r="J143" s="1091">
        <v>15</v>
      </c>
      <c r="K143" s="1096">
        <f>ROUND(100+(J143-J140)*K139*100,1)</f>
        <v>102</v>
      </c>
    </row>
    <row r="144" spans="1:17" ht="16">
      <c r="B144" s="1090">
        <v>1</v>
      </c>
      <c r="C144" s="1091">
        <v>98</v>
      </c>
      <c r="D144" s="2651" t="s">
        <v>2631</v>
      </c>
      <c r="E144" s="1092">
        <v>102</v>
      </c>
      <c r="F144" s="1098">
        <v>100</v>
      </c>
      <c r="G144" s="2651" t="s">
        <v>2631</v>
      </c>
      <c r="H144" s="1094">
        <v>105</v>
      </c>
      <c r="I144" s="2650" t="s">
        <v>2630</v>
      </c>
      <c r="J144" s="1091">
        <v>18</v>
      </c>
      <c r="K144" s="1096">
        <f>ROUND(100+(J144-J140)*K139*100,1)</f>
        <v>103.2</v>
      </c>
    </row>
    <row r="145" spans="2:11" ht="17" thickBot="1">
      <c r="B145" s="2652" t="s">
        <v>2632</v>
      </c>
      <c r="C145" s="1099">
        <f>ROUND(MAX(C139:C144)/MIN(C139:C144)-1,3)</f>
        <v>7.2999999999999995E-2</v>
      </c>
      <c r="D145" s="1100"/>
      <c r="E145" s="1100"/>
      <c r="F145" s="2653" t="s">
        <v>2633</v>
      </c>
      <c r="G145" s="2654"/>
      <c r="H145" s="2655"/>
      <c r="I145" s="2656" t="s">
        <v>2630</v>
      </c>
      <c r="J145" s="1101">
        <v>8</v>
      </c>
      <c r="K145" s="1102">
        <f>ROUND(100+(J145-J140)*K139*100,1)</f>
        <v>99.2</v>
      </c>
    </row>
    <row r="147" spans="2:11">
      <c r="B147" s="2637" t="s">
        <v>2634</v>
      </c>
    </row>
    <row r="148" spans="2:11">
      <c r="B148" s="2637"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xr:uid="{00000000-0002-0000-2600-000000000000}">
      <formula1>环境</formula1>
    </dataValidation>
    <dataValidation type="list" allowBlank="1" showInputMessage="1" showErrorMessage="1" sqref="E16 G16 I16 C16" xr:uid="{00000000-0002-0000-2600-000001000000}">
      <formula1>居住社区成熟度</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E20 I20" xr:uid="{00000000-0002-0000-2600-000003000000}">
      <formula1>公共配套设施</formula1>
    </dataValidation>
    <dataValidation type="list" allowBlank="1" showInputMessage="1" showErrorMessage="1" sqref="E25 G25 I25 C25" xr:uid="{00000000-0002-0000-2600-000004000000}">
      <formula1>住宅楼层</formula1>
    </dataValidation>
    <dataValidation type="list" allowBlank="1" showInputMessage="1" showErrorMessage="1" sqref="E26 G26 I26 C26" xr:uid="{00000000-0002-0000-2600-000005000000}">
      <formula1>住宅朝向</formula1>
    </dataValidation>
    <dataValidation type="list" allowBlank="1" showInputMessage="1" showErrorMessage="1" sqref="E32 G32 I32 C32" xr:uid="{00000000-0002-0000-2600-000006000000}">
      <formula1>住宅建筑类型</formula1>
    </dataValidation>
    <dataValidation type="list" allowBlank="1" showInputMessage="1" showErrorMessage="1" sqref="E34 G34 I34 C34" xr:uid="{00000000-0002-0000-2600-000007000000}">
      <formula1>住宅建筑结构</formula1>
    </dataValidation>
    <dataValidation type="list" allowBlank="1" showInputMessage="1" showErrorMessage="1" sqref="E35 G35 I35 C35" xr:uid="{00000000-0002-0000-2600-000008000000}">
      <formula1>住宅建筑品质</formula1>
    </dataValidation>
    <dataValidation type="list" allowBlank="1" showInputMessage="1" showErrorMessage="1" sqref="E36 G36 I36 C36" xr:uid="{00000000-0002-0000-2600-000009000000}">
      <formula1>住宅公共部分装修</formula1>
    </dataValidation>
    <dataValidation type="list" allowBlank="1" showInputMessage="1" showErrorMessage="1" sqref="E38 G38 I38 C38" xr:uid="{00000000-0002-0000-2600-00000A000000}">
      <formula1>住宅物业管理</formula1>
    </dataValidation>
    <dataValidation type="list" allowBlank="1" showInputMessage="1" showErrorMessage="1" sqref="E39 G39 I39 C39" xr:uid="{00000000-0002-0000-2600-00000B000000}">
      <formula1>住宅基础设施水平</formula1>
    </dataValidation>
    <dataValidation type="list" allowBlank="1" showInputMessage="1" showErrorMessage="1" sqref="E40 G40 I40 C40" xr:uid="{00000000-0002-0000-2600-00000C000000}">
      <formula1>住宅房型</formula1>
    </dataValidation>
    <dataValidation type="list" allowBlank="1" showInputMessage="1" showErrorMessage="1" sqref="E42 G42 I42 C42" xr:uid="{00000000-0002-0000-2600-00000D000000}">
      <formula1>住宅内部装修</formula1>
    </dataValidation>
    <dataValidation type="list" allowBlank="1" showInputMessage="1" showErrorMessage="1" sqref="E43 G43 I43 C43" xr:uid="{00000000-0002-0000-2600-00000E000000}">
      <formula1>内部装修维护情况</formula1>
    </dataValidation>
    <dataValidation type="list" allowBlank="1" showInputMessage="1" showErrorMessage="1" sqref="E8 G8 I8 C8" xr:uid="{00000000-0002-0000-2600-00000F000000}">
      <formula1>住宅交易情况</formula1>
    </dataValidation>
    <dataValidation type="list" allowBlank="1" showInputMessage="1" showErrorMessage="1" sqref="D1" xr:uid="{00000000-0002-0000-2600-000010000000}">
      <formula1>项目类型</formula1>
    </dataValidation>
    <dataValidation type="list" allowBlank="1" showInputMessage="1" showErrorMessage="1" sqref="C10 E10 G10 I10" xr:uid="{00000000-0002-0000-2600-000011000000}">
      <formula1>土地年限区间</formula1>
    </dataValidation>
    <dataValidation type="list" allowBlank="1" showInputMessage="1" showErrorMessage="1" sqref="E9 G9 I9" xr:uid="{00000000-0002-0000-2600-000012000000}">
      <formula1>住宅用途</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958" customWidth="1"/>
    <col min="2" max="2" width="37.1640625" style="1958" customWidth="1"/>
    <col min="3" max="3" width="11.33203125" style="1958" customWidth="1"/>
    <col min="4" max="4" width="31.83203125" style="1958" customWidth="1"/>
    <col min="5" max="5" width="0.5" style="1958" customWidth="1"/>
    <col min="6" max="7" width="13" style="1958" customWidth="1"/>
    <col min="8" max="16384" width="9" style="1958"/>
  </cols>
  <sheetData>
    <row r="1" spans="1:5" ht="18">
      <c r="A1" s="1956" t="s">
        <v>1615</v>
      </c>
      <c r="B1" s="1957"/>
      <c r="C1" s="1957"/>
      <c r="D1" s="1957"/>
      <c r="E1" s="1957"/>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估价结果一览表（市场价值不需“结果表-1”）</v>
      </c>
      <c r="B3" s="3159"/>
      <c r="C3" s="3159"/>
      <c r="D3" s="3159"/>
      <c r="E3" s="3159"/>
    </row>
    <row r="4" spans="1:5" ht="19" thickBot="1">
      <c r="A4" s="1959"/>
      <c r="B4" s="3157" t="s">
        <v>1624</v>
      </c>
      <c r="C4" s="3157"/>
      <c r="D4" s="3157"/>
      <c r="E4" s="1959"/>
    </row>
    <row r="5" spans="1:5" ht="17" thickTop="1">
      <c r="A5" s="1957"/>
      <c r="B5" s="3155" t="s">
        <v>1616</v>
      </c>
      <c r="C5" s="1960" t="s">
        <v>1617</v>
      </c>
      <c r="D5" s="1040">
        <f ca="1">结果表!H101</f>
        <v>315663</v>
      </c>
      <c r="E5" s="1957"/>
    </row>
    <row r="6" spans="1:5" ht="17">
      <c r="A6" s="1957"/>
      <c r="B6" s="3155"/>
      <c r="C6" s="1960" t="s">
        <v>1618</v>
      </c>
      <c r="D6" s="1040" t="str">
        <f ca="1">NUMBERSTRING(INT(D5*10000),2)&amp;"元整"</f>
        <v>叁拾壹亿伍仟陆佰陆拾叁万元整</v>
      </c>
      <c r="E6" s="1957"/>
    </row>
    <row r="7" spans="1:5" ht="16">
      <c r="A7" s="1957"/>
      <c r="B7" s="3160"/>
      <c r="C7" s="1961" t="s">
        <v>1619</v>
      </c>
      <c r="D7" s="1041">
        <f ca="1">结果表!H102</f>
        <v>3176</v>
      </c>
      <c r="E7" s="1957"/>
    </row>
    <row r="8" spans="1:5" ht="16">
      <c r="A8" s="1957"/>
      <c r="B8" s="3161" t="str">
        <f>结果表!E103</f>
        <v>2.估价师知悉的法定优先受偿款</v>
      </c>
      <c r="C8" s="1962" t="s">
        <v>1620</v>
      </c>
      <c r="D8" s="1041">
        <f>结果表!H103</f>
        <v>0</v>
      </c>
      <c r="E8" s="1957"/>
    </row>
    <row r="9" spans="1:5" ht="17">
      <c r="A9" s="1957"/>
      <c r="B9" s="3163"/>
      <c r="C9" s="1960" t="s">
        <v>1618</v>
      </c>
      <c r="D9" s="1040" t="str">
        <f>NUMBERSTRING(INT(D8*10000),2)&amp;"元整"</f>
        <v>零元整</v>
      </c>
      <c r="E9" s="1957"/>
    </row>
    <row r="10" spans="1:5" ht="17">
      <c r="A10" s="1957"/>
      <c r="B10" s="1963" t="s">
        <v>1623</v>
      </c>
      <c r="C10" s="1964" t="s">
        <v>1621</v>
      </c>
      <c r="D10" s="1042">
        <f>结果表!H104</f>
        <v>0</v>
      </c>
      <c r="E10" s="1957"/>
    </row>
    <row r="11" spans="1:5" ht="17">
      <c r="A11" s="1957"/>
      <c r="B11" s="1963" t="s">
        <v>1625</v>
      </c>
      <c r="C11" s="1964" t="s">
        <v>1626</v>
      </c>
      <c r="D11" s="1042">
        <f>结果表!H105</f>
        <v>0</v>
      </c>
      <c r="E11" s="1957"/>
    </row>
    <row r="12" spans="1:5" ht="17">
      <c r="A12" s="1957"/>
      <c r="B12" s="1963" t="s">
        <v>1627</v>
      </c>
      <c r="C12" s="1964" t="s">
        <v>1626</v>
      </c>
      <c r="D12" s="1042">
        <f>结果表!H106</f>
        <v>0</v>
      </c>
      <c r="E12" s="1957"/>
    </row>
    <row r="13" spans="1:5" ht="16">
      <c r="A13" s="1957"/>
      <c r="B13" s="3154" t="str">
        <f>结果表!E107</f>
        <v>3.房地产抵押价值</v>
      </c>
      <c r="C13" s="1965" t="s">
        <v>1617</v>
      </c>
      <c r="D13" s="1043">
        <f ca="1">结果表!H107</f>
        <v>315663</v>
      </c>
      <c r="E13" s="1957"/>
    </row>
    <row r="14" spans="1:5" ht="17">
      <c r="A14" s="1957"/>
      <c r="B14" s="3155"/>
      <c r="C14" s="1960" t="s">
        <v>1618</v>
      </c>
      <c r="D14" s="1040" t="str">
        <f ca="1">NUMBERSTRING(INT(D13*10000),2)&amp;"元整"</f>
        <v>叁拾壹亿伍仟陆佰陆拾叁万元整</v>
      </c>
      <c r="E14" s="1957"/>
    </row>
    <row r="15" spans="1:5" ht="16">
      <c r="A15" s="1957"/>
      <c r="B15" s="3160"/>
      <c r="C15" s="1961" t="s">
        <v>1628</v>
      </c>
      <c r="D15" s="1052">
        <f ca="1">结果表!H108</f>
        <v>3176</v>
      </c>
      <c r="E15" s="1957"/>
    </row>
    <row r="16" spans="1:5" ht="16">
      <c r="A16" s="1957"/>
      <c r="B16" s="3161" t="str">
        <f>结果表!E109</f>
        <v>4.抵押担保权已注销时的房地产抵押价值</v>
      </c>
      <c r="C16" s="1965" t="s">
        <v>1629</v>
      </c>
      <c r="D16" s="1966">
        <f ca="1">结果表!H109</f>
        <v>315663</v>
      </c>
      <c r="E16" s="1957"/>
    </row>
    <row r="17" spans="1:5" ht="16">
      <c r="A17" s="1957"/>
      <c r="B17" s="3162"/>
      <c r="C17" s="1960" t="s">
        <v>1630</v>
      </c>
      <c r="D17" s="1040" t="str">
        <f ca="1">NUMBERSTRING(INT(D16*10000),2)&amp;"元整"</f>
        <v>叁拾壹亿伍仟陆佰陆拾叁万元整</v>
      </c>
      <c r="E17" s="1957"/>
    </row>
    <row r="18" spans="1:5" ht="17">
      <c r="A18" s="1957"/>
      <c r="B18" s="3163"/>
      <c r="C18" s="1961" t="s">
        <v>1619</v>
      </c>
      <c r="D18" s="1052">
        <f ca="1">结果表!H110</f>
        <v>3176</v>
      </c>
      <c r="E18" s="1957"/>
    </row>
    <row r="19" spans="1:5" ht="17">
      <c r="A19" s="1957"/>
      <c r="B19" s="3154" t="str">
        <f>结果表!E111</f>
        <v>——</v>
      </c>
      <c r="C19" s="1965" t="s">
        <v>1617</v>
      </c>
      <c r="D19" s="1041" t="str">
        <f>结果表!H111</f>
        <v>——</v>
      </c>
      <c r="E19" s="1957"/>
    </row>
    <row r="20" spans="1:5" ht="16">
      <c r="A20" s="1957"/>
      <c r="B20" s="3155"/>
      <c r="C20" s="1960" t="s">
        <v>1630</v>
      </c>
      <c r="D20" s="1040" t="e">
        <f>NUMBERSTRING(INT(D19*10000),2)&amp;"元整"</f>
        <v>#VALUE!</v>
      </c>
      <c r="E20" s="1957"/>
    </row>
    <row r="21" spans="1:5" ht="18" thickBot="1">
      <c r="A21" s="1957"/>
      <c r="B21" s="3156"/>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zoomScale="90" zoomScaleNormal="90" workbookViewId="0">
      <selection sqref="A1:XFD1048576"/>
    </sheetView>
  </sheetViews>
  <sheetFormatPr baseColWidth="10" defaultColWidth="9" defaultRowHeight="14"/>
  <cols>
    <col min="1" max="1" width="10.5" style="403" customWidth="1"/>
    <col min="2" max="2" width="15.832031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2624"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8" customFormat="1" ht="28.5" customHeight="1" thickBot="1">
      <c r="A1" s="1617" t="s">
        <v>2522</v>
      </c>
      <c r="B1" s="2582" t="s">
        <v>2636</v>
      </c>
      <c r="C1" s="1633" t="s">
        <v>2524</v>
      </c>
      <c r="D1" s="1620"/>
      <c r="E1" s="2657"/>
      <c r="F1" s="2584"/>
      <c r="G1" s="1630" t="s">
        <v>2637</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2324</v>
      </c>
      <c r="B2" s="1418" t="e">
        <f ca="1">IF(C2="——",ROUND(C49*D3/10000,0),ROUND(C49*D3/10000,0)-D2)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2326</v>
      </c>
      <c r="B3" s="609" t="e">
        <f ca="1">IF(C2="——",C49,ROUND(B2*10000/D3,0))</f>
        <v>#DIV/0!</v>
      </c>
      <c r="C3" s="400" t="s">
        <v>2638</v>
      </c>
      <c r="D3" s="399">
        <f>IF(D1="",'数据-汇总表'!E3,SUMIF('数据-汇总表'!$C19:$C33,D1,'数据-汇总表'!$E19:$E33))</f>
        <v>993873.23100000003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2639</v>
      </c>
      <c r="B4" s="402"/>
      <c r="C4" s="3490" t="s">
        <v>2640</v>
      </c>
      <c r="D4" s="3491"/>
      <c r="E4" s="3492" t="s">
        <v>2641</v>
      </c>
      <c r="F4" s="3493"/>
      <c r="G4" s="3490" t="s">
        <v>2642</v>
      </c>
      <c r="H4" s="3491"/>
      <c r="I4" s="3490" t="s">
        <v>2643</v>
      </c>
      <c r="J4" s="3491"/>
      <c r="K4" s="610" t="s">
        <v>2644</v>
      </c>
      <c r="L4" s="1130"/>
      <c r="M4" s="1131"/>
      <c r="N4" s="1131"/>
      <c r="O4" s="1131"/>
      <c r="P4" s="3494" t="s">
        <v>2645</v>
      </c>
      <c r="Q4" s="3495"/>
      <c r="R4" s="3477" t="s">
        <v>2641</v>
      </c>
      <c r="S4" s="3478"/>
      <c r="T4" s="3477" t="s">
        <v>2642</v>
      </c>
      <c r="U4" s="3478"/>
      <c r="V4" s="3502" t="s">
        <v>2643</v>
      </c>
      <c r="W4" s="3502"/>
      <c r="X4" s="1812"/>
      <c r="Y4" s="3477" t="s">
        <v>2645</v>
      </c>
      <c r="Z4" s="3478"/>
      <c r="AA4" s="3472" t="s">
        <v>2641</v>
      </c>
      <c r="AB4" s="3502" t="s">
        <v>2642</v>
      </c>
      <c r="AC4" s="3472" t="s">
        <v>2643</v>
      </c>
    </row>
    <row r="5" spans="1:29">
      <c r="A5" s="404"/>
      <c r="B5" s="405"/>
      <c r="C5" s="3483" t="s">
        <v>2536</v>
      </c>
      <c r="D5" s="3484"/>
      <c r="E5" s="3481" t="s">
        <v>2537</v>
      </c>
      <c r="F5" s="3482"/>
      <c r="G5" s="3483" t="s">
        <v>2538</v>
      </c>
      <c r="H5" s="3484"/>
      <c r="I5" s="3483" t="s">
        <v>2539</v>
      </c>
      <c r="J5" s="3484"/>
      <c r="K5" s="610"/>
      <c r="L5" s="1130"/>
      <c r="M5" s="1131"/>
      <c r="N5" s="1131"/>
      <c r="O5" s="1131"/>
      <c r="P5" s="3496"/>
      <c r="Q5" s="3497"/>
      <c r="R5" s="3479"/>
      <c r="S5" s="3480"/>
      <c r="T5" s="3479"/>
      <c r="U5" s="3480"/>
      <c r="V5" s="3502"/>
      <c r="W5" s="3502"/>
      <c r="X5" s="1812"/>
      <c r="Y5" s="3479"/>
      <c r="Z5" s="3480"/>
      <c r="AA5" s="3473"/>
      <c r="AB5" s="3502"/>
      <c r="AC5" s="3473"/>
    </row>
    <row r="6" spans="1:29" ht="16" thickBot="1">
      <c r="A6" s="406"/>
      <c r="B6" s="407"/>
      <c r="C6" s="3485" t="s">
        <v>2540</v>
      </c>
      <c r="D6" s="3486"/>
      <c r="E6" s="3487" t="s">
        <v>2540</v>
      </c>
      <c r="F6" s="3488"/>
      <c r="G6" s="3485" t="s">
        <v>2540</v>
      </c>
      <c r="H6" s="3486"/>
      <c r="I6" s="3485" t="s">
        <v>2540</v>
      </c>
      <c r="J6" s="3486"/>
      <c r="K6" s="610" t="s">
        <v>2541</v>
      </c>
      <c r="L6" s="1130"/>
      <c r="M6" s="1131"/>
      <c r="N6" s="1131"/>
      <c r="O6" s="1131"/>
      <c r="P6" s="3498"/>
      <c r="Q6" s="3499"/>
      <c r="R6" s="3479"/>
      <c r="S6" s="3480"/>
      <c r="T6" s="3500"/>
      <c r="U6" s="3501"/>
      <c r="V6" s="3502"/>
      <c r="W6" s="3502"/>
      <c r="X6" s="1812"/>
      <c r="Y6" s="3500"/>
      <c r="Z6" s="3501"/>
      <c r="AA6" s="3474"/>
      <c r="AB6" s="3502"/>
      <c r="AC6" s="3474"/>
    </row>
    <row r="7" spans="1:29" s="117" customFormat="1" ht="16" thickBot="1">
      <c r="A7" s="408" t="s">
        <v>2542</v>
      </c>
      <c r="B7" s="409"/>
      <c r="C7" s="410">
        <f>'数据-取费表'!B2</f>
        <v>43905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475" t="s">
        <v>2543</v>
      </c>
      <c r="Q7" s="3503"/>
      <c r="R7" s="770" t="s">
        <v>17</v>
      </c>
      <c r="S7" s="771">
        <f t="shared" ref="S7:S15" si="0">F7</f>
        <v>0</v>
      </c>
      <c r="T7" s="770" t="s">
        <v>17</v>
      </c>
      <c r="U7" s="771">
        <f t="shared" ref="U7:U15" si="1">H7</f>
        <v>0</v>
      </c>
      <c r="V7" s="770" t="s">
        <v>17</v>
      </c>
      <c r="W7" s="771">
        <f t="shared" ref="W7:W15" si="2">J7</f>
        <v>0</v>
      </c>
      <c r="X7" s="772"/>
      <c r="Y7" s="3475" t="s">
        <v>2543</v>
      </c>
      <c r="Z7" s="3476"/>
      <c r="AA7" s="773" t="e">
        <f>D7/F7</f>
        <v>#DIV/0!</v>
      </c>
      <c r="AB7" s="773" t="e">
        <f>D7/H7</f>
        <v>#DIV/0!</v>
      </c>
      <c r="AC7" s="773" t="e">
        <f>D7/J7</f>
        <v>#DIV/0!</v>
      </c>
    </row>
    <row r="8" spans="1:29" s="117" customFormat="1" ht="16"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475" t="s">
        <v>2546</v>
      </c>
      <c r="Q8" s="3476"/>
      <c r="R8" s="770" t="s">
        <v>17</v>
      </c>
      <c r="S8" s="771">
        <f t="shared" si="0"/>
        <v>0</v>
      </c>
      <c r="T8" s="770" t="s">
        <v>17</v>
      </c>
      <c r="U8" s="771">
        <f t="shared" si="1"/>
        <v>0</v>
      </c>
      <c r="V8" s="770" t="s">
        <v>17</v>
      </c>
      <c r="W8" s="771">
        <f t="shared" si="2"/>
        <v>0</v>
      </c>
      <c r="X8" s="772"/>
      <c r="Y8" s="3475" t="s">
        <v>2546</v>
      </c>
      <c r="Z8" s="3476"/>
      <c r="AA8" s="773" t="e">
        <f t="shared" ref="AA8:AA46" si="3">D8/F8</f>
        <v>#DIV/0!</v>
      </c>
      <c r="AB8" s="773" t="e">
        <f t="shared" ref="AB8:AB46" si="4">D8/H8</f>
        <v>#DIV/0!</v>
      </c>
      <c r="AC8" s="773" t="e">
        <f t="shared" ref="AC8:AC46" si="5">D8/J8</f>
        <v>#DIV/0!</v>
      </c>
    </row>
    <row r="9" spans="1:29" s="117" customFormat="1" ht="15">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513" t="s">
        <v>2549</v>
      </c>
      <c r="Q9" s="1794" t="str">
        <f t="shared" ref="Q9:Q15" si="6">B9</f>
        <v>用途</v>
      </c>
      <c r="R9" s="770" t="s">
        <v>17</v>
      </c>
      <c r="S9" s="771">
        <f t="shared" si="0"/>
        <v>100</v>
      </c>
      <c r="T9" s="770" t="s">
        <v>17</v>
      </c>
      <c r="U9" s="771">
        <f t="shared" si="1"/>
        <v>100</v>
      </c>
      <c r="V9" s="770" t="s">
        <v>17</v>
      </c>
      <c r="W9" s="771">
        <f t="shared" si="2"/>
        <v>100</v>
      </c>
      <c r="X9" s="772"/>
      <c r="Y9" s="3219" t="s">
        <v>2550</v>
      </c>
      <c r="Z9" s="55" t="str">
        <f t="shared" ref="Z9:Z15" si="7">Q9</f>
        <v>用途</v>
      </c>
      <c r="AA9" s="773">
        <f t="shared" si="3"/>
        <v>1</v>
      </c>
      <c r="AB9" s="773">
        <f t="shared" si="4"/>
        <v>1</v>
      </c>
      <c r="AC9" s="773">
        <f t="shared" si="5"/>
        <v>1</v>
      </c>
    </row>
    <row r="10" spans="1:29" s="427" customFormat="1" ht="30">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513"/>
      <c r="Q10" s="1794" t="str">
        <f t="shared" si="6"/>
        <v>土地使用年限（年）</v>
      </c>
      <c r="R10" s="770" t="s">
        <v>17</v>
      </c>
      <c r="S10" s="771">
        <f t="shared" si="0"/>
        <v>100</v>
      </c>
      <c r="T10" s="770" t="s">
        <v>17</v>
      </c>
      <c r="U10" s="771">
        <f t="shared" si="1"/>
        <v>100</v>
      </c>
      <c r="V10" s="770" t="s">
        <v>17</v>
      </c>
      <c r="W10" s="771">
        <f t="shared" si="2"/>
        <v>100</v>
      </c>
      <c r="X10" s="772"/>
      <c r="Y10" s="3219"/>
      <c r="Z10" s="55" t="str">
        <f t="shared" si="7"/>
        <v>土地使用年限（年）</v>
      </c>
      <c r="AA10" s="773">
        <f t="shared" si="3"/>
        <v>1</v>
      </c>
      <c r="AB10" s="773">
        <f t="shared" si="4"/>
        <v>1</v>
      </c>
      <c r="AC10" s="773">
        <f t="shared" si="5"/>
        <v>1</v>
      </c>
    </row>
    <row r="11" spans="1:29" ht="16">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513"/>
      <c r="Q11" s="1794" t="str">
        <f t="shared" si="6"/>
        <v>容积率</v>
      </c>
      <c r="R11" s="770" t="s">
        <v>17</v>
      </c>
      <c r="S11" s="771" t="e">
        <f t="shared" si="0"/>
        <v>#N/A</v>
      </c>
      <c r="T11" s="770" t="s">
        <v>17</v>
      </c>
      <c r="U11" s="771" t="e">
        <f t="shared" si="1"/>
        <v>#N/A</v>
      </c>
      <c r="V11" s="770" t="s">
        <v>17</v>
      </c>
      <c r="W11" s="771" t="e">
        <f t="shared" si="2"/>
        <v>#N/A</v>
      </c>
      <c r="X11" s="772"/>
      <c r="Y11" s="3219"/>
      <c r="Z11" s="55" t="str">
        <f t="shared" si="7"/>
        <v>容积率</v>
      </c>
      <c r="AA11" s="773" t="e">
        <f t="shared" si="3"/>
        <v>#N/A</v>
      </c>
      <c r="AB11" s="773" t="e">
        <f t="shared" si="4"/>
        <v>#N/A</v>
      </c>
      <c r="AC11" s="773" t="e">
        <f t="shared" si="5"/>
        <v>#N/A</v>
      </c>
    </row>
    <row r="12" spans="1:29" s="117" customFormat="1" ht="16">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513"/>
      <c r="Q12" s="1794">
        <f t="shared" si="6"/>
        <v>111</v>
      </c>
      <c r="R12" s="770" t="s">
        <v>17</v>
      </c>
      <c r="S12" s="771">
        <f t="shared" si="0"/>
        <v>100</v>
      </c>
      <c r="T12" s="770" t="s">
        <v>17</v>
      </c>
      <c r="U12" s="771">
        <f t="shared" si="1"/>
        <v>100</v>
      </c>
      <c r="V12" s="770" t="s">
        <v>17</v>
      </c>
      <c r="W12" s="771">
        <f t="shared" si="2"/>
        <v>100</v>
      </c>
      <c r="X12" s="772"/>
      <c r="Y12" s="3219"/>
      <c r="Z12" s="55">
        <f t="shared" si="7"/>
        <v>111</v>
      </c>
      <c r="AA12" s="773">
        <f>D12/F12</f>
        <v>1</v>
      </c>
      <c r="AB12" s="773">
        <f>D12/H12</f>
        <v>1</v>
      </c>
      <c r="AC12" s="773">
        <f>D12/J12</f>
        <v>1</v>
      </c>
    </row>
    <row r="13" spans="1:29" ht="16">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513"/>
      <c r="Q13" s="1794">
        <f t="shared" si="6"/>
        <v>111</v>
      </c>
      <c r="R13" s="770" t="s">
        <v>17</v>
      </c>
      <c r="S13" s="771">
        <f t="shared" si="0"/>
        <v>100</v>
      </c>
      <c r="T13" s="770" t="s">
        <v>17</v>
      </c>
      <c r="U13" s="771">
        <f t="shared" si="1"/>
        <v>100</v>
      </c>
      <c r="V13" s="770" t="s">
        <v>17</v>
      </c>
      <c r="W13" s="771">
        <f t="shared" si="2"/>
        <v>100</v>
      </c>
      <c r="X13" s="772"/>
      <c r="Y13" s="3219"/>
      <c r="Z13" s="55">
        <f t="shared" si="7"/>
        <v>111</v>
      </c>
      <c r="AA13" s="773">
        <f t="shared" si="3"/>
        <v>1</v>
      </c>
      <c r="AB13" s="773">
        <f t="shared" si="4"/>
        <v>1</v>
      </c>
      <c r="AC13" s="773">
        <f t="shared" si="5"/>
        <v>1</v>
      </c>
    </row>
    <row r="14" spans="1:29" ht="17"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513"/>
      <c r="Q14" s="1794">
        <f t="shared" si="6"/>
        <v>111</v>
      </c>
      <c r="R14" s="770" t="s">
        <v>17</v>
      </c>
      <c r="S14" s="771">
        <f t="shared" si="0"/>
        <v>100</v>
      </c>
      <c r="T14" s="770" t="s">
        <v>17</v>
      </c>
      <c r="U14" s="771">
        <f t="shared" si="1"/>
        <v>100</v>
      </c>
      <c r="V14" s="770" t="s">
        <v>17</v>
      </c>
      <c r="W14" s="771">
        <f t="shared" si="2"/>
        <v>100</v>
      </c>
      <c r="X14" s="772"/>
      <c r="Y14" s="3219"/>
      <c r="Z14" s="55">
        <f t="shared" si="7"/>
        <v>111</v>
      </c>
      <c r="AA14" s="773">
        <f t="shared" si="3"/>
        <v>1</v>
      </c>
      <c r="AB14" s="773">
        <f t="shared" si="4"/>
        <v>1</v>
      </c>
      <c r="AC14" s="773">
        <f t="shared" si="5"/>
        <v>1</v>
      </c>
    </row>
    <row r="15" spans="1:29" ht="75">
      <c r="A15" s="440" t="s">
        <v>2553</v>
      </c>
      <c r="B15" s="69" t="s">
        <v>2647</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548" t="s">
        <v>2554</v>
      </c>
      <c r="Q15" s="1809" t="str">
        <f t="shared" si="6"/>
        <v>商业繁华度</v>
      </c>
      <c r="R15" s="774" t="s">
        <v>17</v>
      </c>
      <c r="S15" s="775">
        <f t="shared" si="0"/>
        <v>100</v>
      </c>
      <c r="T15" s="774" t="s">
        <v>17</v>
      </c>
      <c r="U15" s="775">
        <f t="shared" si="1"/>
        <v>100</v>
      </c>
      <c r="V15" s="774" t="s">
        <v>17</v>
      </c>
      <c r="W15" s="775">
        <f t="shared" si="2"/>
        <v>100</v>
      </c>
      <c r="X15" s="1812"/>
      <c r="Y15" s="3504" t="s">
        <v>2554</v>
      </c>
      <c r="Z15" s="1813" t="str">
        <f t="shared" si="7"/>
        <v>商业繁华度</v>
      </c>
      <c r="AA15" s="1810">
        <f t="shared" si="3"/>
        <v>1</v>
      </c>
      <c r="AB15" s="1810">
        <f t="shared" si="4"/>
        <v>1</v>
      </c>
      <c r="AC15" s="1810">
        <f t="shared" si="5"/>
        <v>1</v>
      </c>
    </row>
    <row r="16" spans="1:29" ht="16">
      <c r="A16" s="428"/>
      <c r="B16" s="446"/>
      <c r="C16" s="447"/>
      <c r="D16" s="448"/>
      <c r="E16" s="447"/>
      <c r="F16" s="449"/>
      <c r="G16" s="447"/>
      <c r="H16" s="450"/>
      <c r="I16" s="447"/>
      <c r="J16" s="448"/>
      <c r="K16" s="615"/>
      <c r="L16" s="1140"/>
      <c r="M16" s="1131"/>
      <c r="N16" s="1131"/>
      <c r="O16" s="1131"/>
      <c r="P16" s="3549"/>
      <c r="Q16" s="1809"/>
      <c r="R16" s="774"/>
      <c r="S16" s="775"/>
      <c r="T16" s="774"/>
      <c r="U16" s="775"/>
      <c r="V16" s="774"/>
      <c r="W16" s="775"/>
      <c r="X16" s="1812"/>
      <c r="Y16" s="3505"/>
      <c r="Z16" s="1813"/>
      <c r="AA16" s="1810">
        <v>1</v>
      </c>
      <c r="AB16" s="1810">
        <v>1</v>
      </c>
      <c r="AC16" s="1810">
        <v>1</v>
      </c>
    </row>
    <row r="17" spans="1:29" ht="90">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549"/>
      <c r="Q17" s="1809" t="str">
        <f>B17</f>
        <v>交通便捷度</v>
      </c>
      <c r="R17" s="774" t="s">
        <v>17</v>
      </c>
      <c r="S17" s="775">
        <f>F17</f>
        <v>100</v>
      </c>
      <c r="T17" s="774" t="s">
        <v>17</v>
      </c>
      <c r="U17" s="775">
        <f>H17</f>
        <v>100</v>
      </c>
      <c r="V17" s="774" t="s">
        <v>17</v>
      </c>
      <c r="W17" s="775">
        <f>J17</f>
        <v>100</v>
      </c>
      <c r="X17" s="1812"/>
      <c r="Y17" s="3505"/>
      <c r="Z17" s="1813" t="str">
        <f>Q17</f>
        <v>交通便捷度</v>
      </c>
      <c r="AA17" s="1810">
        <f t="shared" si="3"/>
        <v>1</v>
      </c>
      <c r="AB17" s="1810">
        <f t="shared" si="4"/>
        <v>1</v>
      </c>
      <c r="AC17" s="1810">
        <f t="shared" si="5"/>
        <v>1</v>
      </c>
    </row>
    <row r="18" spans="1:29" ht="16">
      <c r="A18" s="428"/>
      <c r="B18" s="456"/>
      <c r="C18" s="2608"/>
      <c r="D18" s="450"/>
      <c r="E18" s="2610"/>
      <c r="F18" s="453"/>
      <c r="G18" s="2609"/>
      <c r="H18" s="448"/>
      <c r="I18" s="2610"/>
      <c r="J18" s="448"/>
      <c r="K18" s="615"/>
      <c r="L18" s="1140"/>
      <c r="M18" s="1131"/>
      <c r="N18" s="1131"/>
      <c r="O18" s="1131"/>
      <c r="P18" s="3549"/>
      <c r="Q18" s="1809"/>
      <c r="R18" s="774"/>
      <c r="S18" s="775"/>
      <c r="T18" s="774"/>
      <c r="U18" s="775"/>
      <c r="V18" s="774"/>
      <c r="W18" s="775"/>
      <c r="X18" s="1812"/>
      <c r="Y18" s="3505"/>
      <c r="Z18" s="1813"/>
      <c r="AA18" s="1810">
        <v>1</v>
      </c>
      <c r="AB18" s="1810">
        <v>1</v>
      </c>
      <c r="AC18" s="1810">
        <v>1</v>
      </c>
    </row>
    <row r="19" spans="1:29" ht="45">
      <c r="A19" s="428"/>
      <c r="B19" s="451" t="s">
        <v>2648</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549"/>
      <c r="Q19" s="1809" t="str">
        <f>B19</f>
        <v>公共配套设施</v>
      </c>
      <c r="R19" s="774" t="s">
        <v>17</v>
      </c>
      <c r="S19" s="775">
        <f>F19</f>
        <v>100</v>
      </c>
      <c r="T19" s="774" t="s">
        <v>17</v>
      </c>
      <c r="U19" s="775">
        <f>H19</f>
        <v>100</v>
      </c>
      <c r="V19" s="774" t="s">
        <v>17</v>
      </c>
      <c r="W19" s="775">
        <f>J19</f>
        <v>100</v>
      </c>
      <c r="X19" s="1812"/>
      <c r="Y19" s="3505"/>
      <c r="Z19" s="1813" t="str">
        <f>Q19</f>
        <v>公共配套设施</v>
      </c>
      <c r="AA19" s="1810">
        <f t="shared" si="3"/>
        <v>1</v>
      </c>
      <c r="AB19" s="1810">
        <f t="shared" si="4"/>
        <v>1</v>
      </c>
      <c r="AC19" s="1810">
        <f t="shared" si="5"/>
        <v>1</v>
      </c>
    </row>
    <row r="20" spans="1:29" ht="16">
      <c r="A20" s="428"/>
      <c r="B20" s="456"/>
      <c r="C20" s="447"/>
      <c r="D20" s="448"/>
      <c r="E20" s="2605"/>
      <c r="F20" s="449"/>
      <c r="G20" s="2604"/>
      <c r="H20" s="448"/>
      <c r="I20" s="2605"/>
      <c r="J20" s="448"/>
      <c r="K20" s="615"/>
      <c r="L20" s="1140"/>
      <c r="M20" s="1131"/>
      <c r="N20" s="1131"/>
      <c r="O20" s="1131"/>
      <c r="P20" s="3549"/>
      <c r="Q20" s="1809"/>
      <c r="R20" s="774"/>
      <c r="S20" s="775"/>
      <c r="T20" s="774"/>
      <c r="U20" s="775"/>
      <c r="V20" s="774"/>
      <c r="W20" s="775"/>
      <c r="X20" s="1812"/>
      <c r="Y20" s="3505"/>
      <c r="Z20" s="1813"/>
      <c r="AA20" s="1810">
        <v>1</v>
      </c>
      <c r="AB20" s="1810">
        <v>1</v>
      </c>
      <c r="AC20" s="1810">
        <v>1</v>
      </c>
    </row>
    <row r="21" spans="1:29" ht="30">
      <c r="A21" s="428"/>
      <c r="B21" s="1384" t="s">
        <v>2649</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549"/>
      <c r="Q21" s="1809" t="str">
        <f>B21</f>
        <v>基础设施水平</v>
      </c>
      <c r="R21" s="774" t="s">
        <v>17</v>
      </c>
      <c r="S21" s="775">
        <f>F21</f>
        <v>100</v>
      </c>
      <c r="T21" s="774" t="s">
        <v>17</v>
      </c>
      <c r="U21" s="775">
        <f>H21</f>
        <v>100</v>
      </c>
      <c r="V21" s="774" t="s">
        <v>17</v>
      </c>
      <c r="W21" s="775">
        <f>J21</f>
        <v>100</v>
      </c>
      <c r="X21" s="1812"/>
      <c r="Y21" s="3505"/>
      <c r="Z21" s="1813" t="str">
        <f>Q21</f>
        <v>基础设施水平</v>
      </c>
      <c r="AA21" s="1810">
        <f t="shared" ref="AA21" si="8">D21/F21</f>
        <v>1</v>
      </c>
      <c r="AB21" s="1810">
        <f t="shared" ref="AB21" si="9">D21/H21</f>
        <v>1</v>
      </c>
      <c r="AC21" s="1810">
        <f t="shared" ref="AC21" si="10">D21/J21</f>
        <v>1</v>
      </c>
    </row>
    <row r="22" spans="1:29" ht="16">
      <c r="A22" s="428"/>
      <c r="B22" s="1384"/>
      <c r="C22" s="2608"/>
      <c r="D22" s="448"/>
      <c r="E22" s="447"/>
      <c r="F22" s="449"/>
      <c r="G22" s="447"/>
      <c r="H22" s="448"/>
      <c r="I22" s="447"/>
      <c r="J22" s="448"/>
      <c r="K22" s="1383"/>
      <c r="L22" s="1140"/>
      <c r="M22" s="1131"/>
      <c r="N22" s="1131"/>
      <c r="O22" s="1131"/>
      <c r="P22" s="3549"/>
      <c r="Q22" s="1809"/>
      <c r="R22" s="774"/>
      <c r="S22" s="775"/>
      <c r="T22" s="774"/>
      <c r="U22" s="775"/>
      <c r="V22" s="774"/>
      <c r="W22" s="775"/>
      <c r="X22" s="1812"/>
      <c r="Y22" s="3505"/>
      <c r="Z22" s="1813"/>
      <c r="AA22" s="1810">
        <v>1</v>
      </c>
      <c r="AB22" s="1810">
        <v>1</v>
      </c>
      <c r="AC22" s="1810">
        <v>1</v>
      </c>
    </row>
    <row r="23" spans="1:29" ht="60">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549"/>
      <c r="Q23" s="1809" t="str">
        <f>B23</f>
        <v>自然及人文环境</v>
      </c>
      <c r="R23" s="774" t="s">
        <v>17</v>
      </c>
      <c r="S23" s="775">
        <f>F23</f>
        <v>100</v>
      </c>
      <c r="T23" s="774" t="s">
        <v>17</v>
      </c>
      <c r="U23" s="775">
        <f>H23</f>
        <v>100</v>
      </c>
      <c r="V23" s="774" t="s">
        <v>17</v>
      </c>
      <c r="W23" s="775">
        <f>J23</f>
        <v>100</v>
      </c>
      <c r="X23" s="1812"/>
      <c r="Y23" s="3505"/>
      <c r="Z23" s="1813" t="str">
        <f>Q23</f>
        <v>自然及人文环境</v>
      </c>
      <c r="AA23" s="1810">
        <f t="shared" si="3"/>
        <v>1</v>
      </c>
      <c r="AB23" s="1810">
        <f t="shared" si="4"/>
        <v>1</v>
      </c>
      <c r="AC23" s="1810">
        <f t="shared" si="5"/>
        <v>1</v>
      </c>
    </row>
    <row r="24" spans="1:29" ht="16">
      <c r="A24" s="428"/>
      <c r="B24" s="456"/>
      <c r="C24" s="447"/>
      <c r="D24" s="448"/>
      <c r="E24" s="2605"/>
      <c r="F24" s="449"/>
      <c r="G24" s="2604"/>
      <c r="H24" s="448"/>
      <c r="I24" s="2605"/>
      <c r="J24" s="448"/>
      <c r="K24" s="615"/>
      <c r="L24" s="1140"/>
      <c r="M24" s="1131"/>
      <c r="N24" s="1131"/>
      <c r="O24" s="1131"/>
      <c r="P24" s="3549"/>
      <c r="Q24" s="1809"/>
      <c r="R24" s="774"/>
      <c r="S24" s="775"/>
      <c r="T24" s="774"/>
      <c r="U24" s="775"/>
      <c r="V24" s="774"/>
      <c r="W24" s="775"/>
      <c r="X24" s="1812"/>
      <c r="Y24" s="3505"/>
      <c r="Z24" s="1813"/>
      <c r="AA24" s="1810">
        <v>1</v>
      </c>
      <c r="AB24" s="1810">
        <v>1</v>
      </c>
      <c r="AC24" s="1810">
        <v>1</v>
      </c>
    </row>
    <row r="25" spans="1:29" ht="16">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549"/>
      <c r="Q25" s="1809" t="str">
        <f t="shared" ref="Q25:Q46" si="11">B25</f>
        <v>临街状况</v>
      </c>
      <c r="R25" s="774" t="s">
        <v>17</v>
      </c>
      <c r="S25" s="775">
        <f>F25</f>
        <v>100</v>
      </c>
      <c r="T25" s="774" t="s">
        <v>17</v>
      </c>
      <c r="U25" s="775">
        <f>H25</f>
        <v>100</v>
      </c>
      <c r="V25" s="774" t="s">
        <v>17</v>
      </c>
      <c r="W25" s="775">
        <f>J25</f>
        <v>100</v>
      </c>
      <c r="X25" s="1812"/>
      <c r="Y25" s="3505"/>
      <c r="Z25" s="1813" t="str">
        <f>Q25</f>
        <v>临街状况</v>
      </c>
      <c r="AA25" s="1810">
        <f t="shared" si="3"/>
        <v>1</v>
      </c>
      <c r="AB25" s="1810">
        <f t="shared" si="4"/>
        <v>1</v>
      </c>
      <c r="AC25" s="1810">
        <f t="shared" si="5"/>
        <v>1</v>
      </c>
    </row>
    <row r="26" spans="1:29" ht="16">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549"/>
      <c r="Q26" s="1809" t="str">
        <f t="shared" si="11"/>
        <v>平面位置/可视性</v>
      </c>
      <c r="R26" s="774" t="s">
        <v>17</v>
      </c>
      <c r="S26" s="775">
        <f>F26</f>
        <v>100</v>
      </c>
      <c r="T26" s="774" t="s">
        <v>17</v>
      </c>
      <c r="U26" s="775">
        <f>H26</f>
        <v>100</v>
      </c>
      <c r="V26" s="774" t="s">
        <v>17</v>
      </c>
      <c r="W26" s="775">
        <f>J26</f>
        <v>100</v>
      </c>
      <c r="X26" s="1812"/>
      <c r="Y26" s="3505"/>
      <c r="Z26" s="1813" t="str">
        <f>Q26</f>
        <v>平面位置/可视性</v>
      </c>
      <c r="AA26" s="1810">
        <f t="shared" si="3"/>
        <v>1</v>
      </c>
      <c r="AB26" s="1810">
        <f t="shared" si="4"/>
        <v>1</v>
      </c>
      <c r="AC26" s="1810">
        <f t="shared" si="5"/>
        <v>1</v>
      </c>
    </row>
    <row r="27" spans="1:29" s="117" customFormat="1" ht="16">
      <c r="A27" s="431"/>
      <c r="B27" s="451" t="s">
        <v>2652</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549"/>
      <c r="Q27" s="1794" t="str">
        <f t="shared" si="11"/>
        <v>人流量</v>
      </c>
      <c r="R27" s="770" t="s">
        <v>17</v>
      </c>
      <c r="S27" s="771">
        <f>F27</f>
        <v>100</v>
      </c>
      <c r="T27" s="770" t="s">
        <v>17</v>
      </c>
      <c r="U27" s="771">
        <f>H27</f>
        <v>100</v>
      </c>
      <c r="V27" s="770" t="s">
        <v>17</v>
      </c>
      <c r="W27" s="771">
        <f>J27</f>
        <v>100</v>
      </c>
      <c r="X27" s="772"/>
      <c r="Y27" s="3505"/>
      <c r="Z27" s="55" t="str">
        <f>Q27</f>
        <v>人流量</v>
      </c>
      <c r="AA27" s="1810">
        <f>D27/F27</f>
        <v>1</v>
      </c>
      <c r="AB27" s="1810">
        <f>D27/H27</f>
        <v>1</v>
      </c>
      <c r="AC27" s="1810">
        <f>D27/J27</f>
        <v>1</v>
      </c>
    </row>
    <row r="28" spans="1:29" ht="16">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54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505"/>
      <c r="Z28" s="1813" t="str">
        <f t="shared" ref="Z28:Z46" si="15">Q28</f>
        <v>楼层</v>
      </c>
      <c r="AA28" s="1810">
        <f t="shared" si="3"/>
        <v>1</v>
      </c>
      <c r="AB28" s="1810">
        <f t="shared" si="4"/>
        <v>1</v>
      </c>
      <c r="AC28" s="1810">
        <f t="shared" si="5"/>
        <v>1</v>
      </c>
    </row>
    <row r="29" spans="1:29" ht="16">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549"/>
      <c r="Q29" s="1809">
        <f t="shared" si="11"/>
        <v>111</v>
      </c>
      <c r="R29" s="774" t="s">
        <v>17</v>
      </c>
      <c r="S29" s="775">
        <f t="shared" si="12"/>
        <v>100</v>
      </c>
      <c r="T29" s="774" t="s">
        <v>17</v>
      </c>
      <c r="U29" s="775">
        <f t="shared" si="13"/>
        <v>100</v>
      </c>
      <c r="V29" s="774" t="s">
        <v>17</v>
      </c>
      <c r="W29" s="775">
        <f t="shared" si="14"/>
        <v>100</v>
      </c>
      <c r="X29" s="1812"/>
      <c r="Y29" s="3505"/>
      <c r="Z29" s="1813">
        <f t="shared" si="15"/>
        <v>111</v>
      </c>
      <c r="AA29" s="1810">
        <f t="shared" si="3"/>
        <v>1</v>
      </c>
      <c r="AB29" s="1810">
        <f t="shared" si="4"/>
        <v>1</v>
      </c>
      <c r="AC29" s="1810">
        <f t="shared" si="5"/>
        <v>1</v>
      </c>
    </row>
    <row r="30" spans="1:29" ht="16">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549"/>
      <c r="Q30" s="1809">
        <f t="shared" si="11"/>
        <v>111</v>
      </c>
      <c r="R30" s="774" t="s">
        <v>17</v>
      </c>
      <c r="S30" s="775">
        <f t="shared" si="12"/>
        <v>100</v>
      </c>
      <c r="T30" s="774" t="s">
        <v>17</v>
      </c>
      <c r="U30" s="775">
        <f t="shared" si="13"/>
        <v>100</v>
      </c>
      <c r="V30" s="774" t="s">
        <v>17</v>
      </c>
      <c r="W30" s="775">
        <f t="shared" si="14"/>
        <v>100</v>
      </c>
      <c r="X30" s="1812"/>
      <c r="Y30" s="3505"/>
      <c r="Z30" s="1813">
        <f t="shared" si="15"/>
        <v>111</v>
      </c>
      <c r="AA30" s="1810">
        <f t="shared" si="3"/>
        <v>1</v>
      </c>
      <c r="AB30" s="1810">
        <f t="shared" si="4"/>
        <v>1</v>
      </c>
      <c r="AC30" s="1810">
        <f t="shared" si="5"/>
        <v>1</v>
      </c>
    </row>
    <row r="31" spans="1:29" ht="17"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549"/>
      <c r="Q31" s="1809">
        <f t="shared" si="11"/>
        <v>111</v>
      </c>
      <c r="R31" s="774" t="s">
        <v>17</v>
      </c>
      <c r="S31" s="775">
        <f t="shared" si="12"/>
        <v>100</v>
      </c>
      <c r="T31" s="774" t="s">
        <v>17</v>
      </c>
      <c r="U31" s="775">
        <f t="shared" si="13"/>
        <v>100</v>
      </c>
      <c r="V31" s="774" t="s">
        <v>17</v>
      </c>
      <c r="W31" s="775">
        <f t="shared" si="14"/>
        <v>100</v>
      </c>
      <c r="X31" s="1812"/>
      <c r="Y31" s="3505"/>
      <c r="Z31" s="1813">
        <f t="shared" si="15"/>
        <v>111</v>
      </c>
      <c r="AA31" s="1810">
        <f t="shared" si="3"/>
        <v>1</v>
      </c>
      <c r="AB31" s="1810">
        <f t="shared" si="4"/>
        <v>1</v>
      </c>
      <c r="AC31" s="1810">
        <f t="shared" si="5"/>
        <v>1</v>
      </c>
    </row>
    <row r="32" spans="1:29" ht="16">
      <c r="A32" s="440" t="s">
        <v>2557</v>
      </c>
      <c r="B32" s="71" t="s">
        <v>2654</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544" t="s">
        <v>2559</v>
      </c>
      <c r="Q32" s="1809" t="str">
        <f t="shared" si="11"/>
        <v>商业类型</v>
      </c>
      <c r="R32" s="774" t="s">
        <v>17</v>
      </c>
      <c r="S32" s="775">
        <f t="shared" si="12"/>
        <v>100</v>
      </c>
      <c r="T32" s="774" t="s">
        <v>17</v>
      </c>
      <c r="U32" s="775">
        <f t="shared" si="13"/>
        <v>100</v>
      </c>
      <c r="V32" s="774" t="s">
        <v>17</v>
      </c>
      <c r="W32" s="775">
        <f t="shared" si="14"/>
        <v>100</v>
      </c>
      <c r="X32" s="1812"/>
      <c r="Y32" s="3507" t="s">
        <v>2559</v>
      </c>
      <c r="Z32" s="1813" t="str">
        <f t="shared" si="15"/>
        <v>商业类型</v>
      </c>
      <c r="AA32" s="1810">
        <f t="shared" si="3"/>
        <v>1</v>
      </c>
      <c r="AB32" s="1810">
        <f t="shared" si="4"/>
        <v>1</v>
      </c>
      <c r="AC32" s="1810">
        <f t="shared" si="5"/>
        <v>1</v>
      </c>
    </row>
    <row r="33" spans="1:29" s="471" customFormat="1" ht="16">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545"/>
      <c r="Q33" s="776" t="str">
        <f t="shared" si="11"/>
        <v>项目建筑规模</v>
      </c>
      <c r="R33" s="777" t="s">
        <v>17</v>
      </c>
      <c r="S33" s="778" t="e">
        <f t="shared" si="12"/>
        <v>#N/A</v>
      </c>
      <c r="T33" s="777" t="s">
        <v>17</v>
      </c>
      <c r="U33" s="778" t="e">
        <f t="shared" si="13"/>
        <v>#N/A</v>
      </c>
      <c r="V33" s="777" t="s">
        <v>17</v>
      </c>
      <c r="W33" s="778" t="e">
        <f t="shared" si="14"/>
        <v>#N/A</v>
      </c>
      <c r="X33" s="779"/>
      <c r="Y33" s="3507"/>
      <c r="Z33" s="780" t="str">
        <f t="shared" si="15"/>
        <v>项目建筑规模</v>
      </c>
      <c r="AA33" s="1810" t="e">
        <f t="shared" si="3"/>
        <v>#N/A</v>
      </c>
      <c r="AB33" s="1810" t="e">
        <f t="shared" si="4"/>
        <v>#N/A</v>
      </c>
      <c r="AC33" s="1810" t="e">
        <f t="shared" si="5"/>
        <v>#N/A</v>
      </c>
    </row>
    <row r="34" spans="1:29" ht="16">
      <c r="A34" s="472"/>
      <c r="B34" s="422" t="s">
        <v>2561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545"/>
      <c r="Q34" s="1809" t="str">
        <f t="shared" si="11"/>
        <v>建筑结构</v>
      </c>
      <c r="R34" s="774" t="s">
        <v>17</v>
      </c>
      <c r="S34" s="775">
        <f t="shared" si="12"/>
        <v>100</v>
      </c>
      <c r="T34" s="774" t="s">
        <v>17</v>
      </c>
      <c r="U34" s="775">
        <f t="shared" si="13"/>
        <v>100</v>
      </c>
      <c r="V34" s="774" t="s">
        <v>17</v>
      </c>
      <c r="W34" s="775">
        <f t="shared" si="14"/>
        <v>100</v>
      </c>
      <c r="X34" s="1812"/>
      <c r="Y34" s="3507"/>
      <c r="Z34" s="1813" t="str">
        <f t="shared" si="15"/>
        <v>建筑结构</v>
      </c>
      <c r="AA34" s="1810">
        <f t="shared" si="3"/>
        <v>1</v>
      </c>
      <c r="AB34" s="1810">
        <f t="shared" si="4"/>
        <v>1</v>
      </c>
      <c r="AC34" s="1810">
        <f t="shared" si="5"/>
        <v>1</v>
      </c>
    </row>
    <row r="35" spans="1:29" ht="16">
      <c r="A35" s="472"/>
      <c r="B35" s="422" t="s">
        <v>2655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545"/>
      <c r="Q35" s="1809" t="str">
        <f t="shared" si="11"/>
        <v>公共部分装修</v>
      </c>
      <c r="R35" s="774" t="s">
        <v>17</v>
      </c>
      <c r="S35" s="775">
        <f t="shared" si="12"/>
        <v>100</v>
      </c>
      <c r="T35" s="774" t="s">
        <v>17</v>
      </c>
      <c r="U35" s="775">
        <f t="shared" si="13"/>
        <v>100</v>
      </c>
      <c r="V35" s="774" t="s">
        <v>17</v>
      </c>
      <c r="W35" s="775">
        <f t="shared" si="14"/>
        <v>100</v>
      </c>
      <c r="X35" s="1812"/>
      <c r="Y35" s="3507"/>
      <c r="Z35" s="1813" t="str">
        <f t="shared" si="15"/>
        <v>公共部分装修</v>
      </c>
      <c r="AA35" s="1810">
        <f t="shared" si="3"/>
        <v>1</v>
      </c>
      <c r="AB35" s="1810">
        <f t="shared" si="4"/>
        <v>1</v>
      </c>
      <c r="AC35" s="1810">
        <f t="shared" si="5"/>
        <v>1</v>
      </c>
    </row>
    <row r="36" spans="1:29" ht="16">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545"/>
      <c r="Q36" s="1809" t="str">
        <f t="shared" si="11"/>
        <v>成新度</v>
      </c>
      <c r="R36" s="774" t="s">
        <v>17</v>
      </c>
      <c r="S36" s="775" t="e">
        <f t="shared" si="12"/>
        <v>#N/A</v>
      </c>
      <c r="T36" s="774" t="s">
        <v>17</v>
      </c>
      <c r="U36" s="775" t="e">
        <f t="shared" si="13"/>
        <v>#N/A</v>
      </c>
      <c r="V36" s="774" t="s">
        <v>17</v>
      </c>
      <c r="W36" s="775" t="e">
        <f t="shared" si="14"/>
        <v>#N/A</v>
      </c>
      <c r="X36" s="1812"/>
      <c r="Y36" s="3507"/>
      <c r="Z36" s="1813" t="str">
        <f t="shared" si="15"/>
        <v>成新度</v>
      </c>
      <c r="AA36" s="1810" t="e">
        <f t="shared" si="3"/>
        <v>#N/A</v>
      </c>
      <c r="AB36" s="1810" t="e">
        <f t="shared" si="4"/>
        <v>#N/A</v>
      </c>
      <c r="AC36" s="1810" t="e">
        <f t="shared" si="5"/>
        <v>#N/A</v>
      </c>
    </row>
    <row r="37" spans="1:29" s="117" customFormat="1" ht="16">
      <c r="A37" s="473"/>
      <c r="B37" s="422" t="s">
        <v>2657</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545"/>
      <c r="Q37" s="1794" t="str">
        <f t="shared" si="11"/>
        <v>市政基础设施</v>
      </c>
      <c r="R37" s="770" t="s">
        <v>17</v>
      </c>
      <c r="S37" s="771">
        <f t="shared" si="12"/>
        <v>100</v>
      </c>
      <c r="T37" s="770" t="s">
        <v>17</v>
      </c>
      <c r="U37" s="771">
        <f t="shared" si="13"/>
        <v>100</v>
      </c>
      <c r="V37" s="770" t="s">
        <v>17</v>
      </c>
      <c r="W37" s="771">
        <f t="shared" si="14"/>
        <v>100</v>
      </c>
      <c r="X37" s="772"/>
      <c r="Y37" s="3507"/>
      <c r="Z37" s="55" t="str">
        <f t="shared" si="15"/>
        <v>市政基础设施</v>
      </c>
      <c r="AA37" s="773">
        <f t="shared" si="3"/>
        <v>1</v>
      </c>
      <c r="AB37" s="773">
        <f t="shared" si="4"/>
        <v>1</v>
      </c>
      <c r="AC37" s="773">
        <f t="shared" si="5"/>
        <v>1</v>
      </c>
    </row>
    <row r="38" spans="1:29" ht="16">
      <c r="A38" s="472"/>
      <c r="B38" s="422" t="s">
        <v>2658</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545" t="s">
        <v>2559</v>
      </c>
      <c r="Q38" s="1809" t="str">
        <f t="shared" si="11"/>
        <v>业态</v>
      </c>
      <c r="R38" s="774" t="s">
        <v>17</v>
      </c>
      <c r="S38" s="775">
        <f t="shared" si="12"/>
        <v>100</v>
      </c>
      <c r="T38" s="774" t="s">
        <v>17</v>
      </c>
      <c r="U38" s="775">
        <f t="shared" si="13"/>
        <v>100</v>
      </c>
      <c r="V38" s="774" t="s">
        <v>17</v>
      </c>
      <c r="W38" s="775">
        <f t="shared" si="14"/>
        <v>100</v>
      </c>
      <c r="X38" s="1812"/>
      <c r="Y38" s="3507" t="s">
        <v>2559</v>
      </c>
      <c r="Z38" s="1813" t="str">
        <f t="shared" si="15"/>
        <v>业态</v>
      </c>
      <c r="AA38" s="1810">
        <f t="shared" si="3"/>
        <v>1</v>
      </c>
      <c r="AB38" s="1810">
        <f t="shared" si="4"/>
        <v>1</v>
      </c>
      <c r="AC38" s="1810">
        <f t="shared" si="5"/>
        <v>1</v>
      </c>
    </row>
    <row r="39" spans="1:29" ht="16">
      <c r="A39" s="472"/>
      <c r="B39" s="422" t="s">
        <v>2659</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545"/>
      <c r="Q39" s="1809" t="str">
        <f t="shared" si="11"/>
        <v>层高</v>
      </c>
      <c r="R39" s="774" t="s">
        <v>17</v>
      </c>
      <c r="S39" s="775">
        <f t="shared" si="12"/>
        <v>100</v>
      </c>
      <c r="T39" s="774" t="s">
        <v>17</v>
      </c>
      <c r="U39" s="775">
        <f t="shared" si="13"/>
        <v>100</v>
      </c>
      <c r="V39" s="774" t="s">
        <v>17</v>
      </c>
      <c r="W39" s="775">
        <f t="shared" si="14"/>
        <v>100</v>
      </c>
      <c r="X39" s="1812"/>
      <c r="Y39" s="3507"/>
      <c r="Z39" s="1813" t="str">
        <f t="shared" si="15"/>
        <v>层高</v>
      </c>
      <c r="AA39" s="1810">
        <f t="shared" si="3"/>
        <v>1</v>
      </c>
      <c r="AB39" s="1810">
        <f t="shared" si="4"/>
        <v>1</v>
      </c>
      <c r="AC39" s="1810">
        <f t="shared" si="5"/>
        <v>1</v>
      </c>
    </row>
    <row r="40" spans="1:29" ht="16">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545"/>
      <c r="Q40" s="1809" t="str">
        <f t="shared" si="11"/>
        <v>单套建筑面积</v>
      </c>
      <c r="R40" s="774" t="s">
        <v>17</v>
      </c>
      <c r="S40" s="775">
        <f t="shared" si="12"/>
        <v>100</v>
      </c>
      <c r="T40" s="774" t="s">
        <v>17</v>
      </c>
      <c r="U40" s="775">
        <f t="shared" si="13"/>
        <v>100</v>
      </c>
      <c r="V40" s="774" t="s">
        <v>17</v>
      </c>
      <c r="W40" s="775">
        <f t="shared" si="14"/>
        <v>100</v>
      </c>
      <c r="X40" s="1812"/>
      <c r="Y40" s="3507"/>
      <c r="Z40" s="1813" t="str">
        <f t="shared" si="15"/>
        <v>单套建筑面积</v>
      </c>
      <c r="AA40" s="1810">
        <f t="shared" si="3"/>
        <v>1</v>
      </c>
      <c r="AB40" s="1810">
        <f t="shared" si="4"/>
        <v>1</v>
      </c>
      <c r="AC40" s="1810">
        <f t="shared" si="5"/>
        <v>1</v>
      </c>
    </row>
    <row r="41" spans="1:29" s="471" customFormat="1" ht="16">
      <c r="A41" s="468"/>
      <c r="B41" s="1811"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545"/>
      <c r="Q41" s="776" t="str">
        <f t="shared" si="11"/>
        <v>进深比</v>
      </c>
      <c r="R41" s="777" t="s">
        <v>17</v>
      </c>
      <c r="S41" s="778">
        <f t="shared" si="12"/>
        <v>100</v>
      </c>
      <c r="T41" s="777" t="s">
        <v>17</v>
      </c>
      <c r="U41" s="778">
        <f t="shared" si="13"/>
        <v>100</v>
      </c>
      <c r="V41" s="777" t="s">
        <v>17</v>
      </c>
      <c r="W41" s="778">
        <f t="shared" si="14"/>
        <v>100</v>
      </c>
      <c r="X41" s="779"/>
      <c r="Y41" s="3507"/>
      <c r="Z41" s="780" t="str">
        <f t="shared" si="15"/>
        <v>进深比</v>
      </c>
      <c r="AA41" s="1810">
        <f t="shared" si="3"/>
        <v>1</v>
      </c>
      <c r="AB41" s="1810">
        <f t="shared" si="4"/>
        <v>1</v>
      </c>
      <c r="AC41" s="1810">
        <f t="shared" si="5"/>
        <v>1</v>
      </c>
    </row>
    <row r="42" spans="1:29" ht="16">
      <c r="A42" s="472"/>
      <c r="B42" s="422" t="s">
        <v>2662</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545"/>
      <c r="Q42" s="1809" t="str">
        <f t="shared" si="11"/>
        <v>内部装修</v>
      </c>
      <c r="R42" s="774" t="s">
        <v>17</v>
      </c>
      <c r="S42" s="775">
        <f t="shared" si="12"/>
        <v>100</v>
      </c>
      <c r="T42" s="774" t="s">
        <v>17</v>
      </c>
      <c r="U42" s="775">
        <f t="shared" si="13"/>
        <v>100</v>
      </c>
      <c r="V42" s="774" t="s">
        <v>17</v>
      </c>
      <c r="W42" s="775">
        <f t="shared" si="14"/>
        <v>100</v>
      </c>
      <c r="X42" s="1812"/>
      <c r="Y42" s="3507"/>
      <c r="Z42" s="1813" t="str">
        <f t="shared" si="15"/>
        <v>内部装修</v>
      </c>
      <c r="AA42" s="1810">
        <f t="shared" si="3"/>
        <v>1</v>
      </c>
      <c r="AB42" s="1810">
        <f t="shared" si="4"/>
        <v>1</v>
      </c>
      <c r="AC42" s="1810">
        <f t="shared" si="5"/>
        <v>1</v>
      </c>
    </row>
    <row r="43" spans="1:29" ht="16">
      <c r="A43" s="472"/>
      <c r="B43" s="422" t="s">
        <v>2570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545"/>
      <c r="Q43" s="1809" t="str">
        <f t="shared" si="11"/>
        <v>内部装修维护情况</v>
      </c>
      <c r="R43" s="774" t="s">
        <v>17</v>
      </c>
      <c r="S43" s="775">
        <f t="shared" si="12"/>
        <v>100</v>
      </c>
      <c r="T43" s="774" t="s">
        <v>17</v>
      </c>
      <c r="U43" s="775">
        <f t="shared" si="13"/>
        <v>100</v>
      </c>
      <c r="V43" s="774" t="s">
        <v>17</v>
      </c>
      <c r="W43" s="775">
        <f t="shared" si="14"/>
        <v>100</v>
      </c>
      <c r="X43" s="1812"/>
      <c r="Y43" s="3507"/>
      <c r="Z43" s="1813" t="str">
        <f t="shared" si="15"/>
        <v>内部装修维护情况</v>
      </c>
      <c r="AA43" s="1810">
        <f t="shared" si="3"/>
        <v>1</v>
      </c>
      <c r="AB43" s="1810">
        <f t="shared" si="4"/>
        <v>1</v>
      </c>
      <c r="AC43" s="1810">
        <f t="shared" si="5"/>
        <v>1</v>
      </c>
    </row>
    <row r="44" spans="1:29" s="117" customFormat="1" ht="16">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545"/>
      <c r="Q44" s="1794">
        <f t="shared" si="11"/>
        <v>111</v>
      </c>
      <c r="R44" s="770" t="s">
        <v>17</v>
      </c>
      <c r="S44" s="771">
        <f t="shared" si="12"/>
        <v>100</v>
      </c>
      <c r="T44" s="770" t="s">
        <v>17</v>
      </c>
      <c r="U44" s="771">
        <f t="shared" si="13"/>
        <v>100</v>
      </c>
      <c r="V44" s="770" t="s">
        <v>17</v>
      </c>
      <c r="W44" s="771">
        <f t="shared" si="14"/>
        <v>100</v>
      </c>
      <c r="X44" s="772"/>
      <c r="Y44" s="3507"/>
      <c r="Z44" s="55">
        <f t="shared" si="15"/>
        <v>111</v>
      </c>
      <c r="AA44" s="773">
        <f t="shared" si="3"/>
        <v>1</v>
      </c>
      <c r="AB44" s="773">
        <f t="shared" si="4"/>
        <v>1</v>
      </c>
      <c r="AC44" s="773">
        <f t="shared" si="5"/>
        <v>1</v>
      </c>
    </row>
    <row r="45" spans="1:29" ht="16">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545"/>
      <c r="Q45" s="1809">
        <f t="shared" si="11"/>
        <v>111</v>
      </c>
      <c r="R45" s="774" t="s">
        <v>17</v>
      </c>
      <c r="S45" s="775">
        <f t="shared" si="12"/>
        <v>100</v>
      </c>
      <c r="T45" s="774" t="s">
        <v>17</v>
      </c>
      <c r="U45" s="775">
        <f t="shared" si="13"/>
        <v>100</v>
      </c>
      <c r="V45" s="774" t="s">
        <v>17</v>
      </c>
      <c r="W45" s="775">
        <f t="shared" si="14"/>
        <v>100</v>
      </c>
      <c r="X45" s="1812"/>
      <c r="Y45" s="3507"/>
      <c r="Z45" s="1813">
        <f t="shared" si="15"/>
        <v>111</v>
      </c>
      <c r="AA45" s="1810">
        <f t="shared" si="3"/>
        <v>1</v>
      </c>
      <c r="AB45" s="1810">
        <f t="shared" si="4"/>
        <v>1</v>
      </c>
      <c r="AC45" s="1810">
        <f t="shared" si="5"/>
        <v>1</v>
      </c>
    </row>
    <row r="46" spans="1:29" ht="17"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546"/>
      <c r="Q46" s="1809">
        <f t="shared" si="11"/>
        <v>111</v>
      </c>
      <c r="R46" s="774" t="s">
        <v>17</v>
      </c>
      <c r="S46" s="775">
        <f t="shared" si="12"/>
        <v>100</v>
      </c>
      <c r="T46" s="774" t="s">
        <v>17</v>
      </c>
      <c r="U46" s="775">
        <f t="shared" si="13"/>
        <v>100</v>
      </c>
      <c r="V46" s="774" t="s">
        <v>17</v>
      </c>
      <c r="W46" s="775">
        <f t="shared" si="14"/>
        <v>100</v>
      </c>
      <c r="X46" s="1812"/>
      <c r="Y46" s="3547"/>
      <c r="Z46" s="1813">
        <f t="shared" si="15"/>
        <v>111</v>
      </c>
      <c r="AA46" s="1810">
        <f t="shared" si="3"/>
        <v>1</v>
      </c>
      <c r="AB46" s="1810">
        <f t="shared" si="4"/>
        <v>1</v>
      </c>
      <c r="AC46" s="1810">
        <f t="shared" si="5"/>
        <v>1</v>
      </c>
    </row>
    <row r="47" spans="1:29" ht="15">
      <c r="A47" s="479" t="s">
        <v>2571</v>
      </c>
      <c r="B47" s="480"/>
      <c r="C47" s="1407" t="s">
        <v>1</v>
      </c>
      <c r="D47" s="1408"/>
      <c r="E47" s="1409"/>
      <c r="F47" s="1410"/>
      <c r="G47" s="1411"/>
      <c r="H47" s="1412"/>
      <c r="I47" s="1409"/>
      <c r="J47" s="1412"/>
      <c r="K47" s="783"/>
      <c r="L47" s="1143"/>
      <c r="M47" s="1144"/>
      <c r="N47" s="1131"/>
      <c r="O47" s="1144"/>
      <c r="P47" s="3489" t="str">
        <f>A47</f>
        <v>成交单价（元/平方米）</v>
      </c>
      <c r="Q47" s="3489"/>
      <c r="R47" s="3502">
        <f>E47</f>
        <v>0</v>
      </c>
      <c r="S47" s="3502"/>
      <c r="T47" s="3502">
        <f>G47</f>
        <v>0</v>
      </c>
      <c r="U47" s="3502"/>
      <c r="V47" s="3502">
        <f>I47</f>
        <v>0</v>
      </c>
      <c r="W47" s="3502"/>
      <c r="X47" s="759"/>
      <c r="Y47" s="781"/>
      <c r="Z47" s="759"/>
      <c r="AA47" s="759"/>
      <c r="AB47" s="759"/>
      <c r="AC47" s="759"/>
    </row>
    <row r="48" spans="1:29" ht="1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489" t="str">
        <f>A48</f>
        <v>比较价值（元/平方米）</v>
      </c>
      <c r="Q48" s="3489"/>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759"/>
      <c r="Y48" s="759"/>
      <c r="Z48" s="759"/>
      <c r="AA48" s="759"/>
      <c r="AB48" s="759"/>
      <c r="AC48" s="759"/>
    </row>
    <row r="49" spans="1:29" ht="15" thickBot="1">
      <c r="A49" s="492" t="s">
        <v>2664</v>
      </c>
      <c r="B49" s="493"/>
      <c r="C49" s="1417" t="e">
        <f>R49</f>
        <v>#DIV/0!</v>
      </c>
      <c r="D49" s="1417"/>
      <c r="E49" s="1417"/>
      <c r="F49" s="1417"/>
      <c r="G49" s="1417"/>
      <c r="H49" s="1417"/>
      <c r="I49" s="1417"/>
      <c r="J49" s="1417"/>
      <c r="K49" s="785"/>
      <c r="L49" s="1143"/>
      <c r="M49" s="1144"/>
      <c r="N49" s="1131"/>
      <c r="O49" s="1144"/>
      <c r="P49" s="3509" t="str">
        <f>A49</f>
        <v>估价对象XX用房的比较价值（楼面单价，元/平方米）</v>
      </c>
      <c r="Q49" s="3510"/>
      <c r="R49" s="3542" t="e">
        <f>IF(F1="售价",ROUND(AVERAGE(R48:V48),0),ROUND(AVERAGE(R48:V48),1))</f>
        <v>#DIV/0!</v>
      </c>
      <c r="S49" s="3542"/>
      <c r="T49" s="3542"/>
      <c r="U49" s="3542"/>
      <c r="V49" s="3542"/>
      <c r="W49" s="354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 thickBot="1">
      <c r="A57" s="763" t="s">
        <v>2668</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2542</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8"/>
    </row>
    <row r="60" spans="1:29" s="117" customFormat="1" ht="15" thickBot="1">
      <c r="A60" s="515" t="s">
        <v>2579</v>
      </c>
      <c r="B60" s="516"/>
      <c r="C60" s="517"/>
      <c r="D60" s="518"/>
      <c r="E60" s="518"/>
      <c r="F60" s="518"/>
      <c r="G60" s="518"/>
      <c r="H60" s="518"/>
      <c r="I60" s="518"/>
      <c r="J60" s="518"/>
      <c r="K60" s="518"/>
      <c r="L60" s="518"/>
      <c r="M60" s="519"/>
      <c r="N60" s="518"/>
      <c r="O60" s="519"/>
      <c r="P60" s="2628"/>
      <c r="Q60" s="504"/>
    </row>
    <row r="61" spans="1:29" s="117" customFormat="1" ht="15">
      <c r="A61" s="521" t="s">
        <v>2544</v>
      </c>
      <c r="B61" s="510"/>
      <c r="C61" s="522" t="s">
        <v>2646</v>
      </c>
      <c r="D61" s="523"/>
      <c r="E61" s="523"/>
      <c r="F61" s="523"/>
      <c r="G61" s="523"/>
      <c r="H61" s="523"/>
      <c r="I61" s="523"/>
      <c r="J61" s="523"/>
      <c r="K61" s="523"/>
      <c r="L61" s="524"/>
      <c r="M61" s="525"/>
      <c r="N61" s="1151"/>
      <c r="O61" s="1151"/>
      <c r="P61" s="2629"/>
      <c r="Q61" s="504"/>
    </row>
    <row r="62" spans="1:29" s="117" customFormat="1" ht="15" thickBot="1">
      <c r="A62" s="521"/>
      <c r="B62" s="510"/>
      <c r="C62" s="511">
        <v>100</v>
      </c>
      <c r="D62" s="512"/>
      <c r="E62" s="512"/>
      <c r="F62" s="512"/>
      <c r="G62" s="512"/>
      <c r="H62" s="512"/>
      <c r="I62" s="512"/>
      <c r="J62" s="512"/>
      <c r="K62" s="512"/>
      <c r="L62" s="512"/>
      <c r="M62" s="514"/>
      <c r="N62" s="1151"/>
      <c r="O62" s="1151"/>
      <c r="P62" s="2628"/>
      <c r="Q62" s="504"/>
    </row>
    <row r="63" spans="1:29" ht="15">
      <c r="A63" s="527" t="s">
        <v>2582</v>
      </c>
      <c r="B63" s="528" t="s">
        <v>2548</v>
      </c>
      <c r="C63" s="529">
        <f>C9</f>
        <v>0</v>
      </c>
      <c r="D63" s="530"/>
      <c r="E63" s="530"/>
      <c r="F63" s="530"/>
      <c r="G63" s="530"/>
      <c r="H63" s="530"/>
      <c r="I63" s="530"/>
      <c r="J63" s="530"/>
      <c r="K63" s="531"/>
      <c r="L63" s="532"/>
      <c r="M63" s="533"/>
      <c r="N63" s="1152"/>
      <c r="O63" s="1152"/>
      <c r="P63" s="2630"/>
      <c r="Q63" s="504"/>
    </row>
    <row r="64" spans="1:29" ht="15" thickBot="1">
      <c r="A64" s="534"/>
      <c r="B64" s="535"/>
      <c r="C64" s="536">
        <v>100</v>
      </c>
      <c r="D64" s="536"/>
      <c r="E64" s="536"/>
      <c r="F64" s="536"/>
      <c r="G64" s="536"/>
      <c r="H64" s="536"/>
      <c r="I64" s="536"/>
      <c r="J64" s="536"/>
      <c r="K64" s="536"/>
      <c r="L64" s="536"/>
      <c r="M64" s="537"/>
      <c r="N64" s="1153"/>
      <c r="O64" s="1153"/>
      <c r="P64" s="2630"/>
      <c r="Q64" s="504"/>
    </row>
    <row r="65" spans="1:17" ht="31"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0"/>
      <c r="Q65" s="504"/>
    </row>
    <row r="66" spans="1:17" ht="16"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6"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 thickTop="1">
      <c r="A70" s="553"/>
      <c r="B70" s="538">
        <f>B12</f>
        <v>111</v>
      </c>
      <c r="C70" s="554"/>
      <c r="D70" s="554"/>
      <c r="E70" s="554"/>
      <c r="F70" s="554"/>
      <c r="G70" s="554"/>
      <c r="H70" s="555"/>
      <c r="I70" s="555"/>
      <c r="J70" s="555"/>
      <c r="K70" s="555"/>
      <c r="L70" s="556"/>
      <c r="M70" s="557"/>
      <c r="N70" s="1154"/>
      <c r="O70" s="1154"/>
      <c r="P70" s="2631"/>
      <c r="Q70" s="559"/>
    </row>
    <row r="71" spans="1:17" s="471" customFormat="1" ht="15" thickBot="1">
      <c r="A71" s="553"/>
      <c r="B71" s="543"/>
      <c r="C71" s="560"/>
      <c r="D71" s="536"/>
      <c r="E71" s="536"/>
      <c r="F71" s="536"/>
      <c r="G71" s="536"/>
      <c r="H71" s="536"/>
      <c r="I71" s="536"/>
      <c r="J71" s="536"/>
      <c r="K71" s="536"/>
      <c r="L71" s="536"/>
      <c r="M71" s="537"/>
      <c r="N71" s="1153"/>
      <c r="O71" s="1153"/>
      <c r="P71" s="2631"/>
      <c r="Q71" s="559"/>
    </row>
    <row r="72" spans="1:17" s="471" customFormat="1" ht="15" thickTop="1">
      <c r="A72" s="553"/>
      <c r="B72" s="538">
        <f>B13</f>
        <v>111</v>
      </c>
      <c r="C72" s="554"/>
      <c r="D72" s="554"/>
      <c r="E72" s="554"/>
      <c r="F72" s="554"/>
      <c r="G72" s="554"/>
      <c r="H72" s="555"/>
      <c r="I72" s="555"/>
      <c r="J72" s="555"/>
      <c r="K72" s="555"/>
      <c r="L72" s="556"/>
      <c r="M72" s="557"/>
      <c r="N72" s="1154"/>
      <c r="O72" s="1154"/>
      <c r="P72" s="2632"/>
      <c r="Q72" s="561"/>
    </row>
    <row r="73" spans="1:17" s="471" customFormat="1" ht="15" thickBot="1">
      <c r="A73" s="553"/>
      <c r="B73" s="543"/>
      <c r="C73" s="560"/>
      <c r="D73" s="536"/>
      <c r="E73" s="536"/>
      <c r="F73" s="536"/>
      <c r="G73" s="560"/>
      <c r="H73" s="562"/>
      <c r="I73" s="562"/>
      <c r="J73" s="562"/>
      <c r="K73" s="562"/>
      <c r="L73" s="562"/>
      <c r="M73" s="563"/>
      <c r="N73" s="1154"/>
      <c r="O73" s="1154"/>
      <c r="P73" s="2631"/>
      <c r="Q73" s="559"/>
    </row>
    <row r="74" spans="1:17" s="471" customFormat="1" ht="15" thickTop="1">
      <c r="A74" s="553"/>
      <c r="B74" s="546">
        <f>B14</f>
        <v>111</v>
      </c>
      <c r="C74" s="554"/>
      <c r="D74" s="554"/>
      <c r="E74" s="554"/>
      <c r="F74" s="554"/>
      <c r="G74" s="523"/>
      <c r="H74" s="564"/>
      <c r="I74" s="564"/>
      <c r="J74" s="564"/>
      <c r="K74" s="564"/>
      <c r="L74" s="565"/>
      <c r="M74" s="566"/>
      <c r="N74" s="1154"/>
      <c r="O74" s="1154"/>
      <c r="P74" s="2633"/>
      <c r="Q74" s="559"/>
    </row>
    <row r="75" spans="1:17" s="471" customFormat="1" ht="15" thickBot="1">
      <c r="A75" s="568"/>
      <c r="B75" s="569"/>
      <c r="C75" s="570"/>
      <c r="D75" s="570"/>
      <c r="E75" s="570"/>
      <c r="F75" s="570"/>
      <c r="G75" s="570"/>
      <c r="H75" s="571"/>
      <c r="I75" s="571"/>
      <c r="J75" s="571"/>
      <c r="K75" s="571"/>
      <c r="L75" s="571"/>
      <c r="M75" s="572"/>
      <c r="N75" s="1154"/>
      <c r="O75" s="1154"/>
      <c r="P75" s="2631"/>
      <c r="Q75" s="559"/>
    </row>
    <row r="76" spans="1:17" ht="15">
      <c r="A76" s="527" t="s">
        <v>2553</v>
      </c>
      <c r="B76" s="528" t="s">
        <v>2590</v>
      </c>
      <c r="C76" s="573" t="s">
        <v>2591</v>
      </c>
      <c r="D76" s="573" t="s">
        <v>2592</v>
      </c>
      <c r="E76" s="573" t="s">
        <v>2593</v>
      </c>
      <c r="F76" s="573" t="s">
        <v>2594</v>
      </c>
      <c r="G76" s="573" t="s">
        <v>2595</v>
      </c>
      <c r="H76" s="529"/>
      <c r="I76" s="529"/>
      <c r="J76" s="529"/>
      <c r="K76" s="574"/>
      <c r="L76" s="575"/>
      <c r="M76" s="576"/>
      <c r="N76" s="1152"/>
      <c r="O76" s="1152"/>
      <c r="P76" s="2634"/>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6" thickTop="1">
      <c r="A78" s="534"/>
      <c r="B78" s="538" t="s">
        <v>2596</v>
      </c>
      <c r="C78" s="578" t="s">
        <v>2591</v>
      </c>
      <c r="D78" s="578" t="s">
        <v>2592</v>
      </c>
      <c r="E78" s="578" t="s">
        <v>2593</v>
      </c>
      <c r="F78" s="578" t="s">
        <v>2594</v>
      </c>
      <c r="G78" s="578" t="s">
        <v>2595</v>
      </c>
      <c r="H78" s="539"/>
      <c r="I78" s="539"/>
      <c r="J78" s="539"/>
      <c r="K78" s="540"/>
      <c r="L78" s="541"/>
      <c r="M78" s="542"/>
      <c r="N78" s="1152"/>
      <c r="O78" s="1152"/>
      <c r="P78" s="2630"/>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6" thickTop="1">
      <c r="A80" s="534"/>
      <c r="B80" s="538" t="s">
        <v>2597</v>
      </c>
      <c r="C80" s="578" t="s">
        <v>2591</v>
      </c>
      <c r="D80" s="578" t="s">
        <v>2592</v>
      </c>
      <c r="E80" s="578" t="s">
        <v>2593</v>
      </c>
      <c r="F80" s="578" t="s">
        <v>2594</v>
      </c>
      <c r="G80" s="578" t="s">
        <v>2595</v>
      </c>
      <c r="H80" s="539"/>
      <c r="I80" s="539"/>
      <c r="J80" s="539"/>
      <c r="K80" s="540"/>
      <c r="L80" s="541"/>
      <c r="M80" s="542"/>
      <c r="N80" s="1152"/>
      <c r="O80" s="1152"/>
      <c r="P80" s="2630"/>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6" thickTop="1">
      <c r="A82" s="534"/>
      <c r="B82" s="546" t="s">
        <v>2649</v>
      </c>
      <c r="C82" s="660" t="s">
        <v>2669</v>
      </c>
      <c r="D82" s="660" t="s">
        <v>2670</v>
      </c>
      <c r="E82" s="660" t="s">
        <v>2671</v>
      </c>
      <c r="F82" s="660" t="s">
        <v>2672</v>
      </c>
      <c r="G82" s="660" t="s">
        <v>2673</v>
      </c>
      <c r="H82" s="539"/>
      <c r="I82" s="539"/>
      <c r="J82" s="539"/>
      <c r="K82" s="539"/>
      <c r="L82" s="539"/>
      <c r="M82" s="1382"/>
      <c r="N82" s="1153"/>
      <c r="O82" s="1153"/>
      <c r="P82" s="2630"/>
      <c r="Q82" s="504"/>
    </row>
    <row r="83" spans="1:17" ht="1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6" thickTop="1">
      <c r="A84" s="534"/>
      <c r="B84" s="538" t="s">
        <v>2603</v>
      </c>
      <c r="C84" s="578" t="s">
        <v>2591</v>
      </c>
      <c r="D84" s="578" t="s">
        <v>2592</v>
      </c>
      <c r="E84" s="578" t="s">
        <v>2593</v>
      </c>
      <c r="F84" s="578" t="s">
        <v>2594</v>
      </c>
      <c r="G84" s="578" t="s">
        <v>2595</v>
      </c>
      <c r="H84" s="539"/>
      <c r="I84" s="539"/>
      <c r="J84" s="539"/>
      <c r="K84" s="540"/>
      <c r="L84" s="541"/>
      <c r="M84" s="542"/>
      <c r="N84" s="1152"/>
      <c r="O84" s="1152"/>
      <c r="P84" s="2630"/>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6" thickTop="1">
      <c r="A86" s="579"/>
      <c r="B86" s="538" t="s">
        <v>2674</v>
      </c>
      <c r="C86" s="554"/>
      <c r="D86" s="554"/>
      <c r="E86" s="554"/>
      <c r="F86" s="554"/>
      <c r="G86" s="554"/>
      <c r="H86" s="554"/>
      <c r="I86" s="554"/>
      <c r="J86" s="554"/>
      <c r="K86" s="554"/>
      <c r="L86" s="580"/>
      <c r="M86" s="581"/>
      <c r="N86" s="1151"/>
      <c r="O86" s="1151"/>
      <c r="P86" s="2630"/>
      <c r="Q86" s="504"/>
    </row>
    <row r="87" spans="1:17" s="117" customFormat="1" ht="1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6"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 thickBot="1">
      <c r="A89" s="579"/>
      <c r="B89" s="543"/>
      <c r="C89" s="560"/>
      <c r="D89" s="536"/>
      <c r="E89" s="536"/>
      <c r="F89" s="536"/>
      <c r="G89" s="536"/>
      <c r="H89" s="536"/>
      <c r="I89" s="536"/>
      <c r="J89" s="536"/>
      <c r="K89" s="536"/>
      <c r="L89" s="536"/>
      <c r="M89" s="536"/>
      <c r="N89" s="1153"/>
      <c r="O89" s="1153"/>
      <c r="P89" s="2630"/>
      <c r="Q89" s="504"/>
    </row>
    <row r="90" spans="1:17" s="471" customFormat="1" ht="16"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6" thickTop="1">
      <c r="A92" s="534"/>
      <c r="B92" s="538" t="str">
        <f>B28</f>
        <v>楼层</v>
      </c>
      <c r="C92" s="554"/>
      <c r="D92" s="554"/>
      <c r="E92" s="554"/>
      <c r="F92" s="554"/>
      <c r="G92" s="554"/>
      <c r="H92" s="554"/>
      <c r="I92" s="554"/>
      <c r="J92" s="554"/>
      <c r="K92" s="554"/>
      <c r="L92" s="580"/>
      <c r="M92" s="581"/>
      <c r="N92" s="1152"/>
      <c r="O92" s="1152"/>
      <c r="P92" s="2630"/>
      <c r="Q92" s="504"/>
    </row>
    <row r="93" spans="1:17" ht="15" thickBot="1">
      <c r="A93" s="534"/>
      <c r="B93" s="543"/>
      <c r="C93" s="536"/>
      <c r="D93" s="536"/>
      <c r="E93" s="536"/>
      <c r="F93" s="536"/>
      <c r="G93" s="536"/>
      <c r="H93" s="536"/>
      <c r="I93" s="536"/>
      <c r="J93" s="536"/>
      <c r="K93" s="536"/>
      <c r="L93" s="536"/>
      <c r="M93" s="537"/>
      <c r="N93" s="1153"/>
      <c r="O93" s="1153"/>
      <c r="P93" s="2630"/>
      <c r="Q93" s="504"/>
    </row>
    <row r="94" spans="1:17" ht="15" thickTop="1">
      <c r="A94" s="534"/>
      <c r="B94" s="538">
        <f>B29</f>
        <v>111</v>
      </c>
      <c r="C94" s="554"/>
      <c r="D94" s="554"/>
      <c r="E94" s="554"/>
      <c r="F94" s="554"/>
      <c r="G94" s="583"/>
      <c r="H94" s="583"/>
      <c r="I94" s="583"/>
      <c r="J94" s="583"/>
      <c r="K94" s="584"/>
      <c r="L94" s="585"/>
      <c r="M94" s="586"/>
      <c r="N94" s="1152"/>
      <c r="O94" s="1152"/>
      <c r="P94" s="2630"/>
      <c r="Q94" s="504"/>
    </row>
    <row r="95" spans="1:17" ht="15" thickBot="1">
      <c r="A95" s="534"/>
      <c r="B95" s="543"/>
      <c r="C95" s="560"/>
      <c r="D95" s="536"/>
      <c r="E95" s="536"/>
      <c r="F95" s="536"/>
      <c r="G95" s="536"/>
      <c r="H95" s="536"/>
      <c r="I95" s="536"/>
      <c r="J95" s="536"/>
      <c r="K95" s="536"/>
      <c r="L95" s="536"/>
      <c r="M95" s="537"/>
      <c r="N95" s="1153"/>
      <c r="O95" s="1153"/>
      <c r="P95" s="2630"/>
      <c r="Q95" s="504"/>
    </row>
    <row r="96" spans="1:17" ht="15" thickTop="1">
      <c r="A96" s="534"/>
      <c r="B96" s="538">
        <f>B30</f>
        <v>111</v>
      </c>
      <c r="C96" s="554"/>
      <c r="D96" s="554"/>
      <c r="E96" s="554"/>
      <c r="F96" s="554"/>
      <c r="G96" s="583"/>
      <c r="H96" s="583"/>
      <c r="I96" s="583"/>
      <c r="J96" s="583"/>
      <c r="K96" s="584"/>
      <c r="L96" s="585"/>
      <c r="M96" s="586"/>
      <c r="N96" s="1152"/>
      <c r="O96" s="1152"/>
      <c r="P96" s="2630"/>
      <c r="Q96" s="504"/>
    </row>
    <row r="97" spans="1:17" ht="15" thickBot="1">
      <c r="A97" s="534"/>
      <c r="B97" s="543"/>
      <c r="C97" s="560"/>
      <c r="D97" s="536"/>
      <c r="E97" s="536"/>
      <c r="F97" s="536"/>
      <c r="G97" s="536"/>
      <c r="H97" s="536"/>
      <c r="I97" s="536"/>
      <c r="J97" s="536"/>
      <c r="K97" s="536"/>
      <c r="L97" s="536"/>
      <c r="M97" s="537"/>
      <c r="N97" s="1153"/>
      <c r="O97" s="1153"/>
      <c r="P97" s="2630"/>
      <c r="Q97" s="504"/>
    </row>
    <row r="98" spans="1:17" ht="15" thickTop="1">
      <c r="A98" s="534"/>
      <c r="B98" s="546">
        <f>B31</f>
        <v>111</v>
      </c>
      <c r="C98" s="554"/>
      <c r="D98" s="554"/>
      <c r="E98" s="554"/>
      <c r="F98" s="554"/>
      <c r="G98" s="587"/>
      <c r="H98" s="587"/>
      <c r="I98" s="587"/>
      <c r="J98" s="587"/>
      <c r="K98" s="588"/>
      <c r="L98" s="589"/>
      <c r="M98" s="590"/>
      <c r="N98" s="1152"/>
      <c r="O98" s="1152"/>
      <c r="P98" s="2630"/>
      <c r="Q98" s="504"/>
    </row>
    <row r="99" spans="1:17" ht="15" thickBot="1">
      <c r="A99" s="2636"/>
      <c r="B99" s="569"/>
      <c r="C99" s="570"/>
      <c r="D99" s="570"/>
      <c r="E99" s="570"/>
      <c r="F99" s="570"/>
      <c r="G99" s="591"/>
      <c r="H99" s="591"/>
      <c r="I99" s="591"/>
      <c r="J99" s="591"/>
      <c r="K99" s="591"/>
      <c r="L99" s="591"/>
      <c r="M99" s="592"/>
      <c r="N99" s="1153"/>
      <c r="O99" s="1153"/>
      <c r="P99" s="2630"/>
      <c r="Q99" s="504"/>
    </row>
    <row r="100" spans="1:17" ht="15">
      <c r="A100" s="527" t="s">
        <v>2557</v>
      </c>
      <c r="B100" s="528" t="s">
        <v>2675</v>
      </c>
      <c r="C100" s="530"/>
      <c r="D100" s="530"/>
      <c r="E100" s="530"/>
      <c r="F100" s="530"/>
      <c r="G100" s="530"/>
      <c r="H100" s="530"/>
      <c r="I100" s="530"/>
      <c r="J100" s="530"/>
      <c r="K100" s="531"/>
      <c r="L100" s="532"/>
      <c r="M100" s="533"/>
      <c r="N100" s="1152"/>
      <c r="O100" s="1152"/>
      <c r="P100" s="2630"/>
      <c r="Q100" s="504"/>
    </row>
    <row r="101" spans="1:17" ht="1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6"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 thickBot="1">
      <c r="A104" s="553"/>
      <c r="B104" s="543"/>
      <c r="C104" s="560"/>
      <c r="D104" s="536"/>
      <c r="E104" s="536"/>
      <c r="F104" s="536"/>
      <c r="G104" s="536"/>
      <c r="H104" s="536"/>
      <c r="I104" s="536"/>
      <c r="J104" s="536"/>
      <c r="K104" s="536"/>
      <c r="L104" s="536"/>
      <c r="M104" s="537"/>
      <c r="N104" s="1153"/>
      <c r="O104" s="1153"/>
      <c r="P104" s="2631"/>
      <c r="Q104" s="559"/>
    </row>
    <row r="105" spans="1:17" ht="16" thickTop="1">
      <c r="A105" s="599"/>
      <c r="B105" s="538" t="s">
        <v>2608</v>
      </c>
      <c r="C105" s="554"/>
      <c r="D105" s="554"/>
      <c r="E105" s="583"/>
      <c r="F105" s="583"/>
      <c r="G105" s="583"/>
      <c r="H105" s="583"/>
      <c r="I105" s="583"/>
      <c r="J105" s="583"/>
      <c r="K105" s="584"/>
      <c r="L105" s="585"/>
      <c r="M105" s="586"/>
      <c r="N105" s="1152"/>
      <c r="O105" s="1152"/>
      <c r="P105" s="2630"/>
      <c r="Q105" s="504"/>
    </row>
    <row r="106" spans="1:17" ht="1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6" thickTop="1">
      <c r="A107" s="599"/>
      <c r="B107" s="538" t="s">
        <v>2610</v>
      </c>
      <c r="C107" s="554"/>
      <c r="D107" s="554"/>
      <c r="E107" s="554"/>
      <c r="F107" s="583"/>
      <c r="G107" s="583"/>
      <c r="H107" s="583"/>
      <c r="I107" s="583"/>
      <c r="J107" s="583"/>
      <c r="K107" s="584"/>
      <c r="L107" s="585"/>
      <c r="M107" s="586"/>
      <c r="N107" s="1152"/>
      <c r="O107" s="1152"/>
      <c r="P107" s="2630"/>
      <c r="Q107" s="504"/>
    </row>
    <row r="108" spans="1:17" ht="1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6"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6" thickTop="1">
      <c r="A112" s="593"/>
      <c r="B112" s="538" t="s">
        <v>2612</v>
      </c>
      <c r="C112" s="554"/>
      <c r="D112" s="554"/>
      <c r="E112" s="554"/>
      <c r="F112" s="554"/>
      <c r="G112" s="554"/>
      <c r="H112" s="583"/>
      <c r="I112" s="583"/>
      <c r="J112" s="583"/>
      <c r="K112" s="584"/>
      <c r="L112" s="585"/>
      <c r="M112" s="586"/>
      <c r="N112" s="1154"/>
      <c r="O112" s="1154"/>
      <c r="P112" s="2631"/>
      <c r="Q112" s="559"/>
    </row>
    <row r="113" spans="1:17" s="471" customFormat="1" ht="1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6" thickTop="1">
      <c r="A114" s="599"/>
      <c r="B114" s="538" t="s">
        <v>2676</v>
      </c>
      <c r="C114" s="554"/>
      <c r="D114" s="554"/>
      <c r="E114" s="583"/>
      <c r="F114" s="583"/>
      <c r="G114" s="583"/>
      <c r="H114" s="583"/>
      <c r="I114" s="583"/>
      <c r="J114" s="583"/>
      <c r="K114" s="584"/>
      <c r="L114" s="585"/>
      <c r="M114" s="586"/>
      <c r="N114" s="1152"/>
      <c r="O114" s="1152"/>
      <c r="P114" s="2630"/>
      <c r="Q114" s="504"/>
    </row>
    <row r="115" spans="1:17" ht="1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6" thickTop="1">
      <c r="A116" s="599"/>
      <c r="B116" s="538" t="s">
        <v>2677</v>
      </c>
      <c r="C116" s="554"/>
      <c r="D116" s="554"/>
      <c r="E116" s="554"/>
      <c r="F116" s="554"/>
      <c r="G116" s="554"/>
      <c r="H116" s="583"/>
      <c r="I116" s="583"/>
      <c r="J116" s="583"/>
      <c r="K116" s="584"/>
      <c r="L116" s="585"/>
      <c r="M116" s="586"/>
      <c r="N116" s="1152"/>
      <c r="O116" s="1152"/>
      <c r="P116" s="2630"/>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6" thickTop="1">
      <c r="A118" s="599"/>
      <c r="B118" s="538" t="s">
        <v>2678</v>
      </c>
      <c r="C118" s="627"/>
      <c r="D118" s="627"/>
      <c r="E118" s="627"/>
      <c r="F118" s="627"/>
      <c r="G118" s="627"/>
      <c r="H118" s="555"/>
      <c r="I118" s="555"/>
      <c r="J118" s="555"/>
      <c r="K118" s="555"/>
      <c r="L118" s="556"/>
      <c r="M118" s="557"/>
      <c r="N118" s="1152"/>
      <c r="O118" s="1152"/>
      <c r="P118" s="2630"/>
      <c r="Q118" s="504"/>
    </row>
    <row r="119" spans="1:17" ht="1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6" thickTop="1">
      <c r="A120" s="593"/>
      <c r="B120" s="538" t="s">
        <v>2679</v>
      </c>
      <c r="C120" s="583"/>
      <c r="D120" s="583"/>
      <c r="E120" s="583"/>
      <c r="F120" s="583"/>
      <c r="G120" s="555"/>
      <c r="H120" s="555"/>
      <c r="I120" s="555"/>
      <c r="J120" s="555"/>
      <c r="K120" s="555"/>
      <c r="L120" s="556"/>
      <c r="M120" s="557"/>
      <c r="N120" s="1154"/>
      <c r="O120" s="1154"/>
      <c r="P120" s="2631"/>
      <c r="Q120" s="559"/>
    </row>
    <row r="121" spans="1:17" s="471" customFormat="1" ht="1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6" thickTop="1">
      <c r="A122" s="599"/>
      <c r="B122" s="538" t="s">
        <v>2614</v>
      </c>
      <c r="C122" s="554"/>
      <c r="D122" s="554"/>
      <c r="E122" s="554"/>
      <c r="F122" s="583"/>
      <c r="G122" s="583"/>
      <c r="H122" s="583"/>
      <c r="I122" s="583"/>
      <c r="J122" s="583"/>
      <c r="K122" s="584"/>
      <c r="L122" s="585"/>
      <c r="M122" s="586"/>
      <c r="N122" s="1152"/>
      <c r="O122" s="1152"/>
      <c r="P122" s="2630"/>
      <c r="Q122" s="504"/>
    </row>
    <row r="123" spans="1:17" ht="1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6"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1"/>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43 E43 G43 I43" xr:uid="{00000000-0002-0000-2700-000002000000}">
      <formula1>内部装修维护情况</formula1>
    </dataValidation>
    <dataValidation type="list" allowBlank="1" showInputMessage="1" showErrorMessage="1" sqref="E20 I20 G20 C20" xr:uid="{00000000-0002-0000-2700-000003000000}">
      <formula1>公共配套设施</formula1>
    </dataValidation>
    <dataValidation type="list" allowBlank="1" showInputMessage="1" showErrorMessage="1" sqref="E18 G18 I18 C18" xr:uid="{00000000-0002-0000-2700-000004000000}">
      <formula1>交通便捷度</formula1>
    </dataValidation>
    <dataValidation type="list" allowBlank="1" showInputMessage="1" showErrorMessage="1" sqref="E24 G24 I24 C24" xr:uid="{00000000-0002-0000-2700-000005000000}">
      <formula1>环境</formula1>
    </dataValidation>
    <dataValidation type="list" allowBlank="1" showInputMessage="1" showErrorMessage="1" sqref="C25 E25 G25 I25" xr:uid="{00000000-0002-0000-2700-000006000000}">
      <formula1>商业临街状况</formula1>
    </dataValidation>
    <dataValidation type="list" allowBlank="1" showInputMessage="1" showErrorMessage="1" sqref="C27 E27 G27 I27" xr:uid="{00000000-0002-0000-2700-000007000000}">
      <formula1>商业人流量</formula1>
    </dataValidation>
    <dataValidation type="list" allowBlank="1" showInputMessage="1" showErrorMessage="1" sqref="C28 E28 G28 I28" xr:uid="{00000000-0002-0000-2700-000008000000}">
      <formula1>商业楼层</formula1>
    </dataValidation>
    <dataValidation type="list" allowBlank="1" showInputMessage="1" showErrorMessage="1" sqref="C32 E32 G32 I32" xr:uid="{00000000-0002-0000-2700-000009000000}">
      <formula1>商业类型</formula1>
    </dataValidation>
    <dataValidation type="list" allowBlank="1" showInputMessage="1" showErrorMessage="1" sqref="C34 E34 G34 I34" xr:uid="{00000000-0002-0000-2700-00000A000000}">
      <formula1>商业建筑结构</formula1>
    </dataValidation>
    <dataValidation type="list" allowBlank="1" showInputMessage="1" showErrorMessage="1" sqref="C35 E35 G35 I35" xr:uid="{00000000-0002-0000-2700-00000B000000}">
      <formula1>商业公共部分装修</formula1>
    </dataValidation>
    <dataValidation type="list" allowBlank="1" showInputMessage="1" showErrorMessage="1" sqref="C37 E37 G37 I37" xr:uid="{00000000-0002-0000-2700-00000C000000}">
      <formula1>商业基础设施水平</formula1>
    </dataValidation>
    <dataValidation type="list" allowBlank="1" showInputMessage="1" showErrorMessage="1" sqref="C41 E41 G41 I41" xr:uid="{00000000-0002-0000-2700-00000D000000}">
      <formula1>商业进深比</formula1>
    </dataValidation>
    <dataValidation type="list" allowBlank="1" showInputMessage="1" showErrorMessage="1" sqref="C42 E42 G42 I42" xr:uid="{00000000-0002-0000-2700-00000E000000}">
      <formula1>商业内部装修</formula1>
    </dataValidation>
    <dataValidation type="list" allowBlank="1" showInputMessage="1" showErrorMessage="1" sqref="E9 G9 I9" xr:uid="{00000000-0002-0000-2700-00000F000000}">
      <formula1>商业用途</formula1>
    </dataValidation>
    <dataValidation type="list" allowBlank="1" showInputMessage="1" showErrorMessage="1" sqref="C38 E38 G38 I38" xr:uid="{00000000-0002-0000-2700-000010000000}">
      <formula1>商业业态</formula1>
    </dataValidation>
    <dataValidation type="list" allowBlank="1" showInputMessage="1" showErrorMessage="1" sqref="C39 E39 G39 I39" xr:uid="{00000000-0002-0000-2700-000011000000}">
      <formula1>商业层高</formula1>
    </dataValidation>
    <dataValidation type="list" allowBlank="1" showInputMessage="1" showErrorMessage="1" sqref="C8 E8 G8 I8" xr:uid="{00000000-0002-0000-2700-000012000000}">
      <formula1>商业交易情况</formula1>
    </dataValidation>
    <dataValidation type="list" allowBlank="1" showInputMessage="1" showErrorMessage="1" sqref="C16 E16 G16 I16" xr:uid="{00000000-0002-0000-2700-000013000000}">
      <formula1>商业繁华度</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C2" xr:uid="{00000000-0002-0000-2700-000016000000}">
      <formula1>"需扣减承租人权益,——"</formula1>
    </dataValidation>
    <dataValidation type="list" allowBlank="1" showInputMessage="1" showErrorMessage="1" sqref="F2" xr:uid="{00000000-0002-0000-2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zoomScale="90" zoomScaleNormal="90" workbookViewId="0">
      <selection sqref="A1:XFD1048576"/>
    </sheetView>
  </sheetViews>
  <sheetFormatPr baseColWidth="10" defaultColWidth="9" defaultRowHeight="14"/>
  <cols>
    <col min="1" max="1" width="10.5" style="403" customWidth="1"/>
    <col min="2" max="2" width="15.83203125" style="403" customWidth="1"/>
    <col min="3"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112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8" customFormat="1" ht="28.5" customHeight="1" thickBot="1">
      <c r="A1" s="1617" t="s">
        <v>2522</v>
      </c>
      <c r="B1" s="2669" t="s">
        <v>2680</v>
      </c>
      <c r="C1" s="1619" t="s">
        <v>2524</v>
      </c>
      <c r="D1" s="1620"/>
      <c r="E1" s="1629"/>
      <c r="F1" s="2584"/>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IF(C2="——",ROUND(C50*D3/10000,0),ROUND(C50*D3/10000,0)-D2)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993873.23100000003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490" t="s">
        <v>2640</v>
      </c>
      <c r="D4" s="3491"/>
      <c r="E4" s="3492" t="s">
        <v>2641</v>
      </c>
      <c r="F4" s="3493"/>
      <c r="G4" s="3490" t="s">
        <v>2642</v>
      </c>
      <c r="H4" s="3491"/>
      <c r="I4" s="3490" t="s">
        <v>2643</v>
      </c>
      <c r="J4" s="3491"/>
      <c r="K4" s="610" t="s">
        <v>2644</v>
      </c>
      <c r="L4" s="1130"/>
      <c r="M4" s="1131"/>
      <c r="N4" s="1131"/>
      <c r="O4" s="1131"/>
      <c r="P4" s="3556" t="s">
        <v>2645</v>
      </c>
      <c r="Q4" s="3557"/>
      <c r="R4" s="3551" t="s">
        <v>2641</v>
      </c>
      <c r="S4" s="3552"/>
      <c r="T4" s="3551" t="s">
        <v>2642</v>
      </c>
      <c r="U4" s="3552"/>
      <c r="V4" s="3560" t="s">
        <v>2643</v>
      </c>
      <c r="W4" s="3560"/>
      <c r="X4" s="2670"/>
      <c r="Y4" s="3551" t="s">
        <v>2645</v>
      </c>
      <c r="Z4" s="3552"/>
      <c r="AA4" s="3550" t="s">
        <v>2641</v>
      </c>
      <c r="AB4" s="3550" t="s">
        <v>2642</v>
      </c>
      <c r="AC4" s="3553" t="s">
        <v>2643</v>
      </c>
    </row>
    <row r="5" spans="1:29">
      <c r="A5" s="404"/>
      <c r="B5" s="405"/>
      <c r="C5" s="3483" t="s">
        <v>2536</v>
      </c>
      <c r="D5" s="3484"/>
      <c r="E5" s="3481" t="s">
        <v>2537</v>
      </c>
      <c r="F5" s="3482"/>
      <c r="G5" s="3483" t="s">
        <v>2538</v>
      </c>
      <c r="H5" s="3484"/>
      <c r="I5" s="3483" t="s">
        <v>2539</v>
      </c>
      <c r="J5" s="3484"/>
      <c r="K5" s="610"/>
      <c r="L5" s="1130"/>
      <c r="M5" s="1131"/>
      <c r="N5" s="1131"/>
      <c r="O5" s="1131"/>
      <c r="P5" s="3558"/>
      <c r="Q5" s="3497"/>
      <c r="R5" s="3479"/>
      <c r="S5" s="3480"/>
      <c r="T5" s="3479"/>
      <c r="U5" s="3480"/>
      <c r="V5" s="3502"/>
      <c r="W5" s="3502"/>
      <c r="X5" s="1812"/>
      <c r="Y5" s="3479"/>
      <c r="Z5" s="3480"/>
      <c r="AA5" s="3473"/>
      <c r="AB5" s="3473"/>
      <c r="AC5" s="3554"/>
    </row>
    <row r="6" spans="1:29" ht="16" thickBot="1">
      <c r="A6" s="406"/>
      <c r="B6" s="407"/>
      <c r="C6" s="3485" t="s">
        <v>2540</v>
      </c>
      <c r="D6" s="3486"/>
      <c r="E6" s="3487" t="s">
        <v>2540</v>
      </c>
      <c r="F6" s="3488"/>
      <c r="G6" s="3485" t="s">
        <v>2540</v>
      </c>
      <c r="H6" s="3486"/>
      <c r="I6" s="3485" t="s">
        <v>2540</v>
      </c>
      <c r="J6" s="3486"/>
      <c r="K6" s="610" t="s">
        <v>2541</v>
      </c>
      <c r="L6" s="1130"/>
      <c r="M6" s="1131"/>
      <c r="N6" s="1131"/>
      <c r="O6" s="1131"/>
      <c r="P6" s="3559"/>
      <c r="Q6" s="3499"/>
      <c r="R6" s="3479"/>
      <c r="S6" s="3480"/>
      <c r="T6" s="3500"/>
      <c r="U6" s="3501"/>
      <c r="V6" s="3502"/>
      <c r="W6" s="3502"/>
      <c r="X6" s="1812"/>
      <c r="Y6" s="3500"/>
      <c r="Z6" s="3501"/>
      <c r="AA6" s="3474"/>
      <c r="AB6" s="3474"/>
      <c r="AC6" s="3555"/>
    </row>
    <row r="7" spans="1:29" s="117" customFormat="1" ht="16" thickBot="1">
      <c r="A7" s="408" t="s">
        <v>2542</v>
      </c>
      <c r="B7" s="409"/>
      <c r="C7" s="410">
        <f>'数据-取费表'!B2</f>
        <v>43905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561" t="s">
        <v>2543</v>
      </c>
      <c r="Q7" s="3503"/>
      <c r="R7" s="770" t="s">
        <v>17</v>
      </c>
      <c r="S7" s="771">
        <f t="shared" ref="S7:S15" si="0">F7</f>
        <v>0</v>
      </c>
      <c r="T7" s="770" t="s">
        <v>17</v>
      </c>
      <c r="U7" s="771">
        <f t="shared" ref="U7:U15" si="1">H7</f>
        <v>0</v>
      </c>
      <c r="V7" s="770" t="s">
        <v>17</v>
      </c>
      <c r="W7" s="771">
        <f t="shared" ref="W7:W15" si="2">J7</f>
        <v>0</v>
      </c>
      <c r="X7" s="772"/>
      <c r="Y7" s="3475" t="s">
        <v>2543</v>
      </c>
      <c r="Z7" s="3476"/>
      <c r="AA7" s="773" t="e">
        <f>D7/F7</f>
        <v>#DIV/0!</v>
      </c>
      <c r="AB7" s="773" t="e">
        <f>D7/H7</f>
        <v>#DIV/0!</v>
      </c>
      <c r="AC7" s="2671" t="e">
        <f>D7/J7</f>
        <v>#DIV/0!</v>
      </c>
    </row>
    <row r="8" spans="1:29" s="117" customFormat="1" ht="16"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561" t="s">
        <v>2546</v>
      </c>
      <c r="Q8" s="3476"/>
      <c r="R8" s="770" t="s">
        <v>17</v>
      </c>
      <c r="S8" s="771">
        <f t="shared" si="0"/>
        <v>0</v>
      </c>
      <c r="T8" s="770" t="s">
        <v>17</v>
      </c>
      <c r="U8" s="771">
        <f t="shared" si="1"/>
        <v>0</v>
      </c>
      <c r="V8" s="770" t="s">
        <v>17</v>
      </c>
      <c r="W8" s="771">
        <f t="shared" si="2"/>
        <v>0</v>
      </c>
      <c r="X8" s="772"/>
      <c r="Y8" s="3475" t="s">
        <v>2546</v>
      </c>
      <c r="Z8" s="3476"/>
      <c r="AA8" s="773" t="e">
        <f t="shared" ref="AA8:AA47" si="3">D8/F8</f>
        <v>#DIV/0!</v>
      </c>
      <c r="AB8" s="773" t="e">
        <f t="shared" ref="AB8:AB47" si="4">D8/H8</f>
        <v>#DIV/0!</v>
      </c>
      <c r="AC8" s="2671" t="e">
        <f t="shared" ref="AC8:AC47" si="5">D8/J8</f>
        <v>#DIV/0!</v>
      </c>
    </row>
    <row r="9" spans="1:29" s="117" customFormat="1" ht="15">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513" t="s">
        <v>2549</v>
      </c>
      <c r="Q9" s="1794" t="str">
        <f t="shared" ref="Q9:Q15" si="6">B9</f>
        <v>用途</v>
      </c>
      <c r="R9" s="770" t="s">
        <v>17</v>
      </c>
      <c r="S9" s="771">
        <f t="shared" si="0"/>
        <v>100</v>
      </c>
      <c r="T9" s="770" t="s">
        <v>17</v>
      </c>
      <c r="U9" s="771">
        <f t="shared" si="1"/>
        <v>100</v>
      </c>
      <c r="V9" s="770" t="s">
        <v>17</v>
      </c>
      <c r="W9" s="771">
        <f t="shared" si="2"/>
        <v>100</v>
      </c>
      <c r="X9" s="772"/>
      <c r="Y9" s="3219" t="s">
        <v>2550</v>
      </c>
      <c r="Z9" s="55" t="str">
        <f t="shared" ref="Z9:Z15" si="7">Q9</f>
        <v>用途</v>
      </c>
      <c r="AA9" s="773">
        <f t="shared" si="3"/>
        <v>1</v>
      </c>
      <c r="AB9" s="773">
        <f t="shared" si="4"/>
        <v>1</v>
      </c>
      <c r="AC9" s="2671">
        <f t="shared" si="5"/>
        <v>1</v>
      </c>
    </row>
    <row r="10" spans="1:29" s="427" customFormat="1" ht="30">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513"/>
      <c r="Q10" s="1794" t="str">
        <f t="shared" si="6"/>
        <v>土地使用年限（年）</v>
      </c>
      <c r="R10" s="770" t="s">
        <v>17</v>
      </c>
      <c r="S10" s="771">
        <f t="shared" si="0"/>
        <v>100</v>
      </c>
      <c r="T10" s="770" t="s">
        <v>17</v>
      </c>
      <c r="U10" s="771">
        <f t="shared" si="1"/>
        <v>100</v>
      </c>
      <c r="V10" s="770" t="s">
        <v>17</v>
      </c>
      <c r="W10" s="771">
        <f t="shared" si="2"/>
        <v>100</v>
      </c>
      <c r="X10" s="772"/>
      <c r="Y10" s="3219"/>
      <c r="Z10" s="55" t="str">
        <f t="shared" si="7"/>
        <v>土地使用年限（年）</v>
      </c>
      <c r="AA10" s="773">
        <f t="shared" si="3"/>
        <v>1</v>
      </c>
      <c r="AB10" s="773">
        <f t="shared" si="4"/>
        <v>1</v>
      </c>
      <c r="AC10" s="2671">
        <f t="shared" si="5"/>
        <v>1</v>
      </c>
    </row>
    <row r="11" spans="1:29" ht="16">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513"/>
      <c r="Q11" s="1794" t="str">
        <f t="shared" si="6"/>
        <v>容积率</v>
      </c>
      <c r="R11" s="770" t="s">
        <v>17</v>
      </c>
      <c r="S11" s="771" t="e">
        <f t="shared" si="0"/>
        <v>#N/A</v>
      </c>
      <c r="T11" s="770" t="s">
        <v>17</v>
      </c>
      <c r="U11" s="771" t="e">
        <f t="shared" si="1"/>
        <v>#N/A</v>
      </c>
      <c r="V11" s="770" t="s">
        <v>17</v>
      </c>
      <c r="W11" s="771" t="e">
        <f t="shared" si="2"/>
        <v>#N/A</v>
      </c>
      <c r="X11" s="772"/>
      <c r="Y11" s="3219"/>
      <c r="Z11" s="55" t="str">
        <f t="shared" si="7"/>
        <v>容积率</v>
      </c>
      <c r="AA11" s="773" t="e">
        <f t="shared" si="3"/>
        <v>#N/A</v>
      </c>
      <c r="AB11" s="773" t="e">
        <f t="shared" si="4"/>
        <v>#N/A</v>
      </c>
      <c r="AC11" s="2671" t="e">
        <f t="shared" si="5"/>
        <v>#N/A</v>
      </c>
    </row>
    <row r="12" spans="1:29" s="117" customFormat="1" ht="16">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513"/>
      <c r="Q12" s="1794">
        <f t="shared" si="6"/>
        <v>111</v>
      </c>
      <c r="R12" s="770" t="s">
        <v>17</v>
      </c>
      <c r="S12" s="771">
        <f t="shared" si="0"/>
        <v>100</v>
      </c>
      <c r="T12" s="770" t="s">
        <v>17</v>
      </c>
      <c r="U12" s="771">
        <f t="shared" si="1"/>
        <v>100</v>
      </c>
      <c r="V12" s="770" t="s">
        <v>17</v>
      </c>
      <c r="W12" s="771">
        <f t="shared" si="2"/>
        <v>100</v>
      </c>
      <c r="X12" s="772"/>
      <c r="Y12" s="3219"/>
      <c r="Z12" s="55">
        <f t="shared" si="7"/>
        <v>111</v>
      </c>
      <c r="AA12" s="773">
        <f>D12/F12</f>
        <v>1</v>
      </c>
      <c r="AB12" s="773">
        <f>D12/H12</f>
        <v>1</v>
      </c>
      <c r="AC12" s="2671">
        <f>D12/J12</f>
        <v>1</v>
      </c>
    </row>
    <row r="13" spans="1:29" ht="16">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513"/>
      <c r="Q13" s="1794">
        <f t="shared" si="6"/>
        <v>111</v>
      </c>
      <c r="R13" s="770" t="s">
        <v>17</v>
      </c>
      <c r="S13" s="771">
        <f t="shared" si="0"/>
        <v>100</v>
      </c>
      <c r="T13" s="770" t="s">
        <v>17</v>
      </c>
      <c r="U13" s="771">
        <f t="shared" si="1"/>
        <v>100</v>
      </c>
      <c r="V13" s="770" t="s">
        <v>17</v>
      </c>
      <c r="W13" s="771">
        <f t="shared" si="2"/>
        <v>100</v>
      </c>
      <c r="X13" s="772"/>
      <c r="Y13" s="3219"/>
      <c r="Z13" s="55">
        <f t="shared" si="7"/>
        <v>111</v>
      </c>
      <c r="AA13" s="773">
        <f t="shared" si="3"/>
        <v>1</v>
      </c>
      <c r="AB13" s="773">
        <f t="shared" si="4"/>
        <v>1</v>
      </c>
      <c r="AC13" s="2671">
        <f t="shared" si="5"/>
        <v>1</v>
      </c>
    </row>
    <row r="14" spans="1:29" ht="17"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513"/>
      <c r="Q14" s="1794">
        <f t="shared" si="6"/>
        <v>111</v>
      </c>
      <c r="R14" s="770" t="s">
        <v>17</v>
      </c>
      <c r="S14" s="771">
        <f t="shared" si="0"/>
        <v>100</v>
      </c>
      <c r="T14" s="770" t="s">
        <v>17</v>
      </c>
      <c r="U14" s="771">
        <f t="shared" si="1"/>
        <v>100</v>
      </c>
      <c r="V14" s="770" t="s">
        <v>17</v>
      </c>
      <c r="W14" s="771">
        <f t="shared" si="2"/>
        <v>100</v>
      </c>
      <c r="X14" s="772"/>
      <c r="Y14" s="3219"/>
      <c r="Z14" s="55">
        <f t="shared" si="7"/>
        <v>111</v>
      </c>
      <c r="AA14" s="773">
        <f t="shared" si="3"/>
        <v>1</v>
      </c>
      <c r="AB14" s="773">
        <f t="shared" si="4"/>
        <v>1</v>
      </c>
      <c r="AC14" s="2671">
        <f t="shared" si="5"/>
        <v>1</v>
      </c>
    </row>
    <row r="15" spans="1:29" ht="75">
      <c r="A15" s="440" t="s">
        <v>2553</v>
      </c>
      <c r="B15" s="629" t="s">
        <v>2681</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548" t="s">
        <v>2554</v>
      </c>
      <c r="Q15" s="1809" t="str">
        <f t="shared" si="6"/>
        <v>办公集聚程度</v>
      </c>
      <c r="R15" s="774" t="s">
        <v>17</v>
      </c>
      <c r="S15" s="775">
        <f t="shared" si="0"/>
        <v>100</v>
      </c>
      <c r="T15" s="774" t="s">
        <v>17</v>
      </c>
      <c r="U15" s="775">
        <f t="shared" si="1"/>
        <v>100</v>
      </c>
      <c r="V15" s="774" t="s">
        <v>17</v>
      </c>
      <c r="W15" s="775">
        <f t="shared" si="2"/>
        <v>100</v>
      </c>
      <c r="X15" s="1812"/>
      <c r="Y15" s="3504" t="s">
        <v>2554</v>
      </c>
      <c r="Z15" s="1813" t="str">
        <f t="shared" si="7"/>
        <v>办公集聚程度</v>
      </c>
      <c r="AA15" s="1810">
        <f t="shared" si="3"/>
        <v>1</v>
      </c>
      <c r="AB15" s="1810">
        <f t="shared" si="4"/>
        <v>1</v>
      </c>
      <c r="AC15" s="2674">
        <f t="shared" si="5"/>
        <v>1</v>
      </c>
    </row>
    <row r="16" spans="1:29" ht="16">
      <c r="A16" s="428"/>
      <c r="B16" s="630"/>
      <c r="C16" s="2611"/>
      <c r="D16" s="448"/>
      <c r="E16" s="447"/>
      <c r="F16" s="448"/>
      <c r="G16" s="2611"/>
      <c r="H16" s="450"/>
      <c r="I16" s="447"/>
      <c r="J16" s="448"/>
      <c r="K16" s="615"/>
      <c r="L16" s="1140"/>
      <c r="M16" s="1131"/>
      <c r="N16" s="1131"/>
      <c r="O16" s="1131"/>
      <c r="P16" s="3549"/>
      <c r="Q16" s="1809"/>
      <c r="R16" s="774"/>
      <c r="S16" s="775"/>
      <c r="T16" s="774"/>
      <c r="U16" s="775"/>
      <c r="V16" s="774"/>
      <c r="W16" s="775"/>
      <c r="X16" s="1812"/>
      <c r="Y16" s="3505"/>
      <c r="Z16" s="1813"/>
      <c r="AA16" s="1810">
        <v>1</v>
      </c>
      <c r="AB16" s="1810">
        <v>1</v>
      </c>
      <c r="AC16" s="2674">
        <v>1</v>
      </c>
    </row>
    <row r="17" spans="1:29" ht="7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549"/>
      <c r="Q17" s="1809" t="str">
        <f>B17</f>
        <v>交通便捷度</v>
      </c>
      <c r="R17" s="774" t="s">
        <v>17</v>
      </c>
      <c r="S17" s="775">
        <f>F17</f>
        <v>100</v>
      </c>
      <c r="T17" s="774" t="s">
        <v>17</v>
      </c>
      <c r="U17" s="775">
        <f>H17</f>
        <v>100</v>
      </c>
      <c r="V17" s="774" t="s">
        <v>17</v>
      </c>
      <c r="W17" s="775">
        <f>J17</f>
        <v>100</v>
      </c>
      <c r="X17" s="1812"/>
      <c r="Y17" s="3505"/>
      <c r="Z17" s="1813" t="str">
        <f>Q17</f>
        <v>交通便捷度</v>
      </c>
      <c r="AA17" s="1810">
        <f t="shared" si="3"/>
        <v>1</v>
      </c>
      <c r="AB17" s="1810">
        <f t="shared" si="4"/>
        <v>1</v>
      </c>
      <c r="AC17" s="2674">
        <f t="shared" si="5"/>
        <v>1</v>
      </c>
    </row>
    <row r="18" spans="1:29" ht="16">
      <c r="A18" s="428"/>
      <c r="B18" s="632"/>
      <c r="C18" s="2676"/>
      <c r="D18" s="450"/>
      <c r="E18" s="2609"/>
      <c r="F18" s="450"/>
      <c r="G18" s="2610"/>
      <c r="H18" s="448"/>
      <c r="I18" s="2610"/>
      <c r="J18" s="448"/>
      <c r="K18" s="615"/>
      <c r="L18" s="1140"/>
      <c r="M18" s="1131"/>
      <c r="N18" s="1131"/>
      <c r="O18" s="1131"/>
      <c r="P18" s="3549"/>
      <c r="Q18" s="1809"/>
      <c r="R18" s="774"/>
      <c r="S18" s="775"/>
      <c r="T18" s="774"/>
      <c r="U18" s="775"/>
      <c r="V18" s="774"/>
      <c r="W18" s="775"/>
      <c r="X18" s="1812"/>
      <c r="Y18" s="3505"/>
      <c r="Z18" s="1813"/>
      <c r="AA18" s="1810">
        <v>1</v>
      </c>
      <c r="AB18" s="1810">
        <v>1</v>
      </c>
      <c r="AC18" s="2674">
        <v>1</v>
      </c>
    </row>
    <row r="19" spans="1:29" ht="45">
      <c r="A19" s="428"/>
      <c r="B19" s="631" t="s">
        <v>2682</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549"/>
      <c r="Q19" s="1809" t="str">
        <f>B19</f>
        <v>公共配套设施</v>
      </c>
      <c r="R19" s="774" t="s">
        <v>17</v>
      </c>
      <c r="S19" s="775">
        <f>F19</f>
        <v>100</v>
      </c>
      <c r="T19" s="774" t="s">
        <v>17</v>
      </c>
      <c r="U19" s="775">
        <f>H19</f>
        <v>100</v>
      </c>
      <c r="V19" s="774" t="s">
        <v>17</v>
      </c>
      <c r="W19" s="775">
        <f>J19</f>
        <v>100</v>
      </c>
      <c r="X19" s="1812"/>
      <c r="Y19" s="3505"/>
      <c r="Z19" s="1813" t="str">
        <f>Q19</f>
        <v>公共配套设施</v>
      </c>
      <c r="AA19" s="1810">
        <f t="shared" si="3"/>
        <v>1</v>
      </c>
      <c r="AB19" s="1810">
        <f t="shared" si="4"/>
        <v>1</v>
      </c>
      <c r="AC19" s="2674">
        <f t="shared" si="5"/>
        <v>1</v>
      </c>
    </row>
    <row r="20" spans="1:29" ht="16">
      <c r="A20" s="428"/>
      <c r="B20" s="632"/>
      <c r="C20" s="2611"/>
      <c r="D20" s="448"/>
      <c r="E20" s="2604"/>
      <c r="F20" s="448"/>
      <c r="G20" s="2605"/>
      <c r="H20" s="448"/>
      <c r="I20" s="2605"/>
      <c r="J20" s="448"/>
      <c r="K20" s="615"/>
      <c r="L20" s="1140"/>
      <c r="M20" s="1131"/>
      <c r="N20" s="1131"/>
      <c r="O20" s="1131"/>
      <c r="P20" s="3549"/>
      <c r="Q20" s="1809"/>
      <c r="R20" s="774"/>
      <c r="S20" s="775"/>
      <c r="T20" s="774"/>
      <c r="U20" s="775"/>
      <c r="V20" s="774"/>
      <c r="W20" s="775"/>
      <c r="X20" s="1812"/>
      <c r="Y20" s="3505"/>
      <c r="Z20" s="1813"/>
      <c r="AA20" s="1810">
        <v>1</v>
      </c>
      <c r="AB20" s="1810">
        <v>1</v>
      </c>
      <c r="AC20" s="2674">
        <v>1</v>
      </c>
    </row>
    <row r="21" spans="1:29" ht="30">
      <c r="A21" s="428"/>
      <c r="B21" s="633" t="s">
        <v>2683</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549"/>
      <c r="Q21" s="1809" t="str">
        <f>B21</f>
        <v>基础设施水平</v>
      </c>
      <c r="R21" s="774" t="s">
        <v>17</v>
      </c>
      <c r="S21" s="775">
        <f>F21</f>
        <v>100</v>
      </c>
      <c r="T21" s="774" t="s">
        <v>17</v>
      </c>
      <c r="U21" s="775">
        <f>H21</f>
        <v>100</v>
      </c>
      <c r="V21" s="774" t="s">
        <v>17</v>
      </c>
      <c r="W21" s="775">
        <f>J21</f>
        <v>100</v>
      </c>
      <c r="X21" s="1812"/>
      <c r="Y21" s="3505"/>
      <c r="Z21" s="1813" t="str">
        <f>Q21</f>
        <v>基础设施水平</v>
      </c>
      <c r="AA21" s="1810">
        <f t="shared" ref="AA21" si="8">D21/F21</f>
        <v>1</v>
      </c>
      <c r="AB21" s="1810">
        <f t="shared" ref="AB21" si="9">D21/H21</f>
        <v>1</v>
      </c>
      <c r="AC21" s="2674">
        <f t="shared" ref="AC21" si="10">D21/J21</f>
        <v>1</v>
      </c>
    </row>
    <row r="22" spans="1:29" ht="16">
      <c r="A22" s="428"/>
      <c r="B22" s="633"/>
      <c r="C22" s="2676"/>
      <c r="D22" s="448"/>
      <c r="E22" s="447"/>
      <c r="F22" s="448"/>
      <c r="G22" s="2611"/>
      <c r="H22" s="448"/>
      <c r="I22" s="2611"/>
      <c r="J22" s="448"/>
      <c r="K22" s="1383"/>
      <c r="L22" s="1140"/>
      <c r="M22" s="1131"/>
      <c r="N22" s="1131"/>
      <c r="O22" s="1131"/>
      <c r="P22" s="3549"/>
      <c r="Q22" s="1809"/>
      <c r="R22" s="774"/>
      <c r="S22" s="775"/>
      <c r="T22" s="774"/>
      <c r="U22" s="775"/>
      <c r="V22" s="774"/>
      <c r="W22" s="775"/>
      <c r="X22" s="1812"/>
      <c r="Y22" s="3505"/>
      <c r="Z22" s="1813"/>
      <c r="AA22" s="1810">
        <v>1</v>
      </c>
      <c r="AB22" s="1810">
        <v>1</v>
      </c>
      <c r="AC22" s="2674">
        <v>1</v>
      </c>
    </row>
    <row r="23" spans="1:29" ht="45">
      <c r="A23" s="428"/>
      <c r="B23" s="631" t="s">
        <v>2684</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549"/>
      <c r="Q23" s="1809" t="str">
        <f>B23</f>
        <v>环境质量</v>
      </c>
      <c r="R23" s="774" t="s">
        <v>17</v>
      </c>
      <c r="S23" s="775">
        <f>F23</f>
        <v>100</v>
      </c>
      <c r="T23" s="774" t="s">
        <v>17</v>
      </c>
      <c r="U23" s="775">
        <f>H23</f>
        <v>100</v>
      </c>
      <c r="V23" s="774" t="s">
        <v>17</v>
      </c>
      <c r="W23" s="775">
        <f>J23</f>
        <v>100</v>
      </c>
      <c r="X23" s="1812"/>
      <c r="Y23" s="3505"/>
      <c r="Z23" s="1813" t="str">
        <f>Q23</f>
        <v>环境质量</v>
      </c>
      <c r="AA23" s="1810">
        <f t="shared" si="3"/>
        <v>1</v>
      </c>
      <c r="AB23" s="1810">
        <f t="shared" si="4"/>
        <v>1</v>
      </c>
      <c r="AC23" s="2674">
        <f t="shared" si="5"/>
        <v>1</v>
      </c>
    </row>
    <row r="24" spans="1:29" ht="16">
      <c r="A24" s="428"/>
      <c r="B24" s="633"/>
      <c r="C24" s="2611"/>
      <c r="D24" s="448"/>
      <c r="E24" s="2604"/>
      <c r="F24" s="448"/>
      <c r="G24" s="2605"/>
      <c r="H24" s="448"/>
      <c r="I24" s="2605"/>
      <c r="J24" s="448"/>
      <c r="K24" s="615"/>
      <c r="L24" s="1140"/>
      <c r="M24" s="1131"/>
      <c r="N24" s="1131"/>
      <c r="O24" s="1131"/>
      <c r="P24" s="3549"/>
      <c r="Q24" s="1809"/>
      <c r="R24" s="774"/>
      <c r="S24" s="775"/>
      <c r="T24" s="774"/>
      <c r="U24" s="775"/>
      <c r="V24" s="774"/>
      <c r="W24" s="775"/>
      <c r="X24" s="1812"/>
      <c r="Y24" s="3505"/>
      <c r="Z24" s="1813"/>
      <c r="AA24" s="1810">
        <v>1</v>
      </c>
      <c r="AB24" s="1810">
        <v>1</v>
      </c>
      <c r="AC24" s="2674">
        <v>1</v>
      </c>
    </row>
    <row r="25" spans="1:29" ht="30">
      <c r="A25" s="404"/>
      <c r="B25" s="631" t="s">
        <v>2685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549"/>
      <c r="Q25" s="1809" t="str">
        <f>B25</f>
        <v>毗邻道路的类型与等级</v>
      </c>
      <c r="R25" s="774" t="s">
        <v>17</v>
      </c>
      <c r="S25" s="775">
        <f>F25</f>
        <v>100</v>
      </c>
      <c r="T25" s="774" t="s">
        <v>17</v>
      </c>
      <c r="U25" s="775">
        <f>H25</f>
        <v>100</v>
      </c>
      <c r="V25" s="774" t="s">
        <v>17</v>
      </c>
      <c r="W25" s="775">
        <f>J25</f>
        <v>100</v>
      </c>
      <c r="X25" s="1812"/>
      <c r="Y25" s="3505"/>
      <c r="Z25" s="1813" t="str">
        <f>Q25</f>
        <v>毗邻道路的类型与等级</v>
      </c>
      <c r="AA25" s="1810">
        <f t="shared" si="3"/>
        <v>1</v>
      </c>
      <c r="AB25" s="1810">
        <f t="shared" si="4"/>
        <v>1</v>
      </c>
      <c r="AC25" s="2674">
        <f t="shared" si="5"/>
        <v>1</v>
      </c>
    </row>
    <row r="26" spans="1:29" ht="16">
      <c r="A26" s="404"/>
      <c r="B26" s="632"/>
      <c r="C26" s="634"/>
      <c r="D26" s="435"/>
      <c r="E26" s="616"/>
      <c r="F26" s="435"/>
      <c r="G26" s="634"/>
      <c r="H26" s="435"/>
      <c r="I26" s="616"/>
      <c r="J26" s="435"/>
      <c r="K26" s="615"/>
      <c r="L26" s="1140"/>
      <c r="M26" s="1131"/>
      <c r="N26" s="1131"/>
      <c r="O26" s="1131"/>
      <c r="P26" s="3549"/>
      <c r="Q26" s="1809"/>
      <c r="R26" s="774"/>
      <c r="S26" s="775"/>
      <c r="T26" s="774"/>
      <c r="U26" s="775"/>
      <c r="V26" s="774"/>
      <c r="W26" s="775"/>
      <c r="X26" s="1812"/>
      <c r="Y26" s="3505"/>
      <c r="Z26" s="1813"/>
      <c r="AA26" s="1810">
        <v>1</v>
      </c>
      <c r="AB26" s="1810">
        <v>1</v>
      </c>
      <c r="AC26" s="2674">
        <v>1</v>
      </c>
    </row>
    <row r="27" spans="1:29" ht="16">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549"/>
      <c r="Q27" s="1809" t="str">
        <f t="shared" ref="Q27:Q47" si="11">B27</f>
        <v>楼层</v>
      </c>
      <c r="R27" s="774" t="s">
        <v>17</v>
      </c>
      <c r="S27" s="775">
        <f>F27</f>
        <v>100</v>
      </c>
      <c r="T27" s="774" t="s">
        <v>17</v>
      </c>
      <c r="U27" s="775">
        <f>H27</f>
        <v>100</v>
      </c>
      <c r="V27" s="774" t="s">
        <v>17</v>
      </c>
      <c r="W27" s="775">
        <f>J27</f>
        <v>100</v>
      </c>
      <c r="X27" s="1812"/>
      <c r="Y27" s="3505"/>
      <c r="Z27" s="1813" t="str">
        <f>Q27</f>
        <v>楼层</v>
      </c>
      <c r="AA27" s="1810">
        <f t="shared" si="3"/>
        <v>1</v>
      </c>
      <c r="AB27" s="1810">
        <f t="shared" si="4"/>
        <v>1</v>
      </c>
      <c r="AC27" s="2674">
        <f t="shared" si="5"/>
        <v>1</v>
      </c>
    </row>
    <row r="28" spans="1:29" s="117" customFormat="1" ht="16">
      <c r="A28" s="431"/>
      <c r="B28" s="631" t="s">
        <v>2686</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549"/>
      <c r="Q28" s="1794" t="str">
        <f t="shared" si="11"/>
        <v>朝向</v>
      </c>
      <c r="R28" s="770" t="s">
        <v>17</v>
      </c>
      <c r="S28" s="771">
        <f>F28</f>
        <v>100</v>
      </c>
      <c r="T28" s="770" t="s">
        <v>17</v>
      </c>
      <c r="U28" s="771">
        <f>H28</f>
        <v>100</v>
      </c>
      <c r="V28" s="770" t="s">
        <v>17</v>
      </c>
      <c r="W28" s="771">
        <f>J28</f>
        <v>100</v>
      </c>
      <c r="X28" s="772"/>
      <c r="Y28" s="3505"/>
      <c r="Z28" s="55" t="str">
        <f>Q28</f>
        <v>朝向</v>
      </c>
      <c r="AA28" s="1810">
        <f>D28/F28</f>
        <v>1</v>
      </c>
      <c r="AB28" s="1810">
        <f>D28/H28</f>
        <v>1</v>
      </c>
      <c r="AC28" s="2674">
        <f>D28/J28</f>
        <v>1</v>
      </c>
    </row>
    <row r="29" spans="1:29" ht="16">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549"/>
      <c r="Q29" s="1809">
        <f t="shared" si="11"/>
        <v>111</v>
      </c>
      <c r="R29" s="774" t="s">
        <v>17</v>
      </c>
      <c r="S29" s="775">
        <f t="shared" ref="S29:S47" si="12">F29</f>
        <v>100</v>
      </c>
      <c r="T29" s="774" t="s">
        <v>17</v>
      </c>
      <c r="U29" s="775">
        <f t="shared" ref="U29:U47" si="13">H29</f>
        <v>100</v>
      </c>
      <c r="V29" s="774" t="s">
        <v>17</v>
      </c>
      <c r="W29" s="775">
        <f t="shared" ref="W29:W47" si="14">J29</f>
        <v>100</v>
      </c>
      <c r="X29" s="1812"/>
      <c r="Y29" s="3505"/>
      <c r="Z29" s="1813">
        <f t="shared" ref="Z29:Z47" si="15">Q29</f>
        <v>111</v>
      </c>
      <c r="AA29" s="1810">
        <f t="shared" si="3"/>
        <v>1</v>
      </c>
      <c r="AB29" s="1810">
        <f t="shared" si="4"/>
        <v>1</v>
      </c>
      <c r="AC29" s="2674">
        <f t="shared" si="5"/>
        <v>1</v>
      </c>
    </row>
    <row r="30" spans="1:29" ht="16">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549"/>
      <c r="Q30" s="1809">
        <f t="shared" si="11"/>
        <v>111</v>
      </c>
      <c r="R30" s="774" t="s">
        <v>17</v>
      </c>
      <c r="S30" s="775">
        <f t="shared" si="12"/>
        <v>100</v>
      </c>
      <c r="T30" s="774" t="s">
        <v>17</v>
      </c>
      <c r="U30" s="775">
        <f t="shared" si="13"/>
        <v>100</v>
      </c>
      <c r="V30" s="774" t="s">
        <v>17</v>
      </c>
      <c r="W30" s="775">
        <f t="shared" si="14"/>
        <v>100</v>
      </c>
      <c r="X30" s="1812"/>
      <c r="Y30" s="3505"/>
      <c r="Z30" s="1813">
        <f t="shared" si="15"/>
        <v>111</v>
      </c>
      <c r="AA30" s="1810">
        <f t="shared" si="3"/>
        <v>1</v>
      </c>
      <c r="AB30" s="1810">
        <f t="shared" si="4"/>
        <v>1</v>
      </c>
      <c r="AC30" s="2674">
        <f t="shared" si="5"/>
        <v>1</v>
      </c>
    </row>
    <row r="31" spans="1:29" ht="16">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549"/>
      <c r="Q31" s="1809">
        <f t="shared" si="11"/>
        <v>111</v>
      </c>
      <c r="R31" s="774" t="s">
        <v>17</v>
      </c>
      <c r="S31" s="775">
        <f t="shared" si="12"/>
        <v>100</v>
      </c>
      <c r="T31" s="774" t="s">
        <v>17</v>
      </c>
      <c r="U31" s="775">
        <f t="shared" si="13"/>
        <v>100</v>
      </c>
      <c r="V31" s="774" t="s">
        <v>17</v>
      </c>
      <c r="W31" s="775">
        <f t="shared" si="14"/>
        <v>100</v>
      </c>
      <c r="X31" s="1812"/>
      <c r="Y31" s="3505"/>
      <c r="Z31" s="1813">
        <f t="shared" si="15"/>
        <v>111</v>
      </c>
      <c r="AA31" s="1810">
        <f t="shared" si="3"/>
        <v>1</v>
      </c>
      <c r="AB31" s="1810">
        <f t="shared" si="4"/>
        <v>1</v>
      </c>
      <c r="AC31" s="2674">
        <f t="shared" si="5"/>
        <v>1</v>
      </c>
    </row>
    <row r="32" spans="1:29" ht="17"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549"/>
      <c r="Q32" s="1809">
        <f t="shared" si="11"/>
        <v>111</v>
      </c>
      <c r="R32" s="774" t="s">
        <v>17</v>
      </c>
      <c r="S32" s="775">
        <f t="shared" si="12"/>
        <v>100</v>
      </c>
      <c r="T32" s="774" t="s">
        <v>17</v>
      </c>
      <c r="U32" s="775">
        <f t="shared" si="13"/>
        <v>100</v>
      </c>
      <c r="V32" s="774" t="s">
        <v>17</v>
      </c>
      <c r="W32" s="775">
        <f t="shared" si="14"/>
        <v>100</v>
      </c>
      <c r="X32" s="1812"/>
      <c r="Y32" s="3505"/>
      <c r="Z32" s="1813">
        <f t="shared" si="15"/>
        <v>111</v>
      </c>
      <c r="AA32" s="1810">
        <f t="shared" si="3"/>
        <v>1</v>
      </c>
      <c r="AB32" s="1810">
        <f t="shared" si="4"/>
        <v>1</v>
      </c>
      <c r="AC32" s="2674">
        <f t="shared" si="5"/>
        <v>1</v>
      </c>
    </row>
    <row r="33" spans="1:29" ht="16">
      <c r="A33" s="440" t="s">
        <v>2557</v>
      </c>
      <c r="B33" s="71" t="s">
        <v>2687</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544" t="s">
        <v>2559</v>
      </c>
      <c r="Q33" s="1809" t="str">
        <f t="shared" si="11"/>
        <v>建筑类型</v>
      </c>
      <c r="R33" s="774" t="s">
        <v>17</v>
      </c>
      <c r="S33" s="775">
        <f t="shared" si="12"/>
        <v>100</v>
      </c>
      <c r="T33" s="774" t="s">
        <v>17</v>
      </c>
      <c r="U33" s="775">
        <f t="shared" si="13"/>
        <v>100</v>
      </c>
      <c r="V33" s="774" t="s">
        <v>17</v>
      </c>
      <c r="W33" s="775">
        <f t="shared" si="14"/>
        <v>100</v>
      </c>
      <c r="X33" s="1812"/>
      <c r="Y33" s="3507" t="s">
        <v>2559</v>
      </c>
      <c r="Z33" s="1813" t="str">
        <f t="shared" si="15"/>
        <v>建筑类型</v>
      </c>
      <c r="AA33" s="1810">
        <f t="shared" si="3"/>
        <v>1</v>
      </c>
      <c r="AB33" s="1810">
        <f t="shared" si="4"/>
        <v>1</v>
      </c>
      <c r="AC33" s="2674">
        <f t="shared" si="5"/>
        <v>1</v>
      </c>
    </row>
    <row r="34" spans="1:29" s="471" customFormat="1" ht="16">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545"/>
      <c r="Q34" s="776" t="str">
        <f t="shared" si="11"/>
        <v>项目建筑规模</v>
      </c>
      <c r="R34" s="777" t="s">
        <v>17</v>
      </c>
      <c r="S34" s="778" t="e">
        <f t="shared" si="12"/>
        <v>#N/A</v>
      </c>
      <c r="T34" s="777" t="s">
        <v>17</v>
      </c>
      <c r="U34" s="778" t="e">
        <f t="shared" si="13"/>
        <v>#N/A</v>
      </c>
      <c r="V34" s="777" t="s">
        <v>17</v>
      </c>
      <c r="W34" s="778" t="e">
        <f t="shared" si="14"/>
        <v>#N/A</v>
      </c>
      <c r="X34" s="779"/>
      <c r="Y34" s="3507"/>
      <c r="Z34" s="780" t="str">
        <f t="shared" si="15"/>
        <v>项目建筑规模</v>
      </c>
      <c r="AA34" s="1810" t="e">
        <f t="shared" si="3"/>
        <v>#N/A</v>
      </c>
      <c r="AB34" s="1810" t="e">
        <f t="shared" si="4"/>
        <v>#N/A</v>
      </c>
      <c r="AC34" s="2674" t="e">
        <f t="shared" si="5"/>
        <v>#N/A</v>
      </c>
    </row>
    <row r="35" spans="1:29" ht="16">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545"/>
      <c r="Q35" s="1809" t="str">
        <f t="shared" si="11"/>
        <v>建筑结构</v>
      </c>
      <c r="R35" s="774" t="s">
        <v>17</v>
      </c>
      <c r="S35" s="775">
        <f t="shared" si="12"/>
        <v>100</v>
      </c>
      <c r="T35" s="774" t="s">
        <v>17</v>
      </c>
      <c r="U35" s="775">
        <f t="shared" si="13"/>
        <v>100</v>
      </c>
      <c r="V35" s="774" t="s">
        <v>17</v>
      </c>
      <c r="W35" s="775">
        <f t="shared" si="14"/>
        <v>100</v>
      </c>
      <c r="X35" s="1812"/>
      <c r="Y35" s="3507"/>
      <c r="Z35" s="1813" t="str">
        <f t="shared" si="15"/>
        <v>建筑结构</v>
      </c>
      <c r="AA35" s="1810">
        <f t="shared" si="3"/>
        <v>1</v>
      </c>
      <c r="AB35" s="1810">
        <f t="shared" si="4"/>
        <v>1</v>
      </c>
      <c r="AC35" s="2674">
        <f t="shared" si="5"/>
        <v>1</v>
      </c>
    </row>
    <row r="36" spans="1:29" ht="16">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545"/>
      <c r="Q36" s="1809" t="str">
        <f t="shared" si="11"/>
        <v>公共部分装修</v>
      </c>
      <c r="R36" s="774" t="s">
        <v>17</v>
      </c>
      <c r="S36" s="775">
        <f t="shared" si="12"/>
        <v>100</v>
      </c>
      <c r="T36" s="774" t="s">
        <v>17</v>
      </c>
      <c r="U36" s="775">
        <f t="shared" si="13"/>
        <v>100</v>
      </c>
      <c r="V36" s="774" t="s">
        <v>17</v>
      </c>
      <c r="W36" s="775">
        <f t="shared" si="14"/>
        <v>100</v>
      </c>
      <c r="X36" s="1812"/>
      <c r="Y36" s="3507"/>
      <c r="Z36" s="1813" t="str">
        <f t="shared" si="15"/>
        <v>公共部分装修</v>
      </c>
      <c r="AA36" s="1810">
        <f t="shared" si="3"/>
        <v>1</v>
      </c>
      <c r="AB36" s="1810">
        <f t="shared" si="4"/>
        <v>1</v>
      </c>
      <c r="AC36" s="2674">
        <f t="shared" si="5"/>
        <v>1</v>
      </c>
    </row>
    <row r="37" spans="1:29" ht="16">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545"/>
      <c r="Q37" s="1809" t="str">
        <f t="shared" si="11"/>
        <v>成新度</v>
      </c>
      <c r="R37" s="774" t="s">
        <v>17</v>
      </c>
      <c r="S37" s="775" t="e">
        <f t="shared" si="12"/>
        <v>#N/A</v>
      </c>
      <c r="T37" s="774" t="s">
        <v>17</v>
      </c>
      <c r="U37" s="775" t="e">
        <f t="shared" si="13"/>
        <v>#N/A</v>
      </c>
      <c r="V37" s="774" t="s">
        <v>17</v>
      </c>
      <c r="W37" s="775" t="e">
        <f t="shared" si="14"/>
        <v>#N/A</v>
      </c>
      <c r="X37" s="1812"/>
      <c r="Y37" s="3507"/>
      <c r="Z37" s="1813" t="str">
        <f t="shared" si="15"/>
        <v>成新度</v>
      </c>
      <c r="AA37" s="1810" t="e">
        <f t="shared" si="3"/>
        <v>#N/A</v>
      </c>
      <c r="AB37" s="1810" t="e">
        <f t="shared" si="4"/>
        <v>#N/A</v>
      </c>
      <c r="AC37" s="2674" t="e">
        <f t="shared" si="5"/>
        <v>#N/A</v>
      </c>
    </row>
    <row r="38" spans="1:29" s="117" customFormat="1" ht="16">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545"/>
      <c r="Q38" s="1794" t="str">
        <f t="shared" si="11"/>
        <v>写字楼等级</v>
      </c>
      <c r="R38" s="770" t="s">
        <v>17</v>
      </c>
      <c r="S38" s="771">
        <f t="shared" si="12"/>
        <v>100</v>
      </c>
      <c r="T38" s="770" t="s">
        <v>17</v>
      </c>
      <c r="U38" s="771">
        <f t="shared" si="13"/>
        <v>100</v>
      </c>
      <c r="V38" s="770" t="s">
        <v>17</v>
      </c>
      <c r="W38" s="771">
        <f t="shared" si="14"/>
        <v>100</v>
      </c>
      <c r="X38" s="772"/>
      <c r="Y38" s="3507"/>
      <c r="Z38" s="55" t="str">
        <f t="shared" si="15"/>
        <v>写字楼等级</v>
      </c>
      <c r="AA38" s="773">
        <f t="shared" si="3"/>
        <v>1</v>
      </c>
      <c r="AB38" s="773">
        <f t="shared" si="4"/>
        <v>1</v>
      </c>
      <c r="AC38" s="2671">
        <f t="shared" si="5"/>
        <v>1</v>
      </c>
    </row>
    <row r="39" spans="1:29" ht="16">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545" t="s">
        <v>2559</v>
      </c>
      <c r="Q39" s="1809" t="str">
        <f t="shared" si="11"/>
        <v>物业管理</v>
      </c>
      <c r="R39" s="774" t="s">
        <v>17</v>
      </c>
      <c r="S39" s="775">
        <f t="shared" si="12"/>
        <v>100</v>
      </c>
      <c r="T39" s="774" t="s">
        <v>17</v>
      </c>
      <c r="U39" s="775">
        <f t="shared" si="13"/>
        <v>100</v>
      </c>
      <c r="V39" s="774" t="s">
        <v>17</v>
      </c>
      <c r="W39" s="775">
        <f t="shared" si="14"/>
        <v>100</v>
      </c>
      <c r="X39" s="1812"/>
      <c r="Y39" s="3507" t="s">
        <v>2559</v>
      </c>
      <c r="Z39" s="1813" t="str">
        <f t="shared" si="15"/>
        <v>物业管理</v>
      </c>
      <c r="AA39" s="1810">
        <f t="shared" si="3"/>
        <v>1</v>
      </c>
      <c r="AB39" s="1810">
        <f t="shared" si="4"/>
        <v>1</v>
      </c>
      <c r="AC39" s="2674">
        <f t="shared" si="5"/>
        <v>1</v>
      </c>
    </row>
    <row r="40" spans="1:29" ht="16">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545"/>
      <c r="Q40" s="1809" t="str">
        <f t="shared" si="11"/>
        <v>市政基础设施</v>
      </c>
      <c r="R40" s="774" t="s">
        <v>17</v>
      </c>
      <c r="S40" s="775">
        <f t="shared" si="12"/>
        <v>100</v>
      </c>
      <c r="T40" s="774" t="s">
        <v>17</v>
      </c>
      <c r="U40" s="775">
        <f t="shared" si="13"/>
        <v>100</v>
      </c>
      <c r="V40" s="774" t="s">
        <v>17</v>
      </c>
      <c r="W40" s="775">
        <f t="shared" si="14"/>
        <v>100</v>
      </c>
      <c r="X40" s="1812"/>
      <c r="Y40" s="3507"/>
      <c r="Z40" s="1813" t="str">
        <f t="shared" si="15"/>
        <v>市政基础设施</v>
      </c>
      <c r="AA40" s="1810">
        <f t="shared" si="3"/>
        <v>1</v>
      </c>
      <c r="AB40" s="1810">
        <f t="shared" si="4"/>
        <v>1</v>
      </c>
      <c r="AC40" s="2674">
        <f t="shared" si="5"/>
        <v>1</v>
      </c>
    </row>
    <row r="41" spans="1:29" ht="16">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545"/>
      <c r="Q41" s="1809" t="str">
        <f t="shared" si="11"/>
        <v>层高</v>
      </c>
      <c r="R41" s="774" t="s">
        <v>17</v>
      </c>
      <c r="S41" s="775">
        <f t="shared" si="12"/>
        <v>100</v>
      </c>
      <c r="T41" s="774" t="s">
        <v>17</v>
      </c>
      <c r="U41" s="775">
        <f t="shared" si="13"/>
        <v>100</v>
      </c>
      <c r="V41" s="774" t="s">
        <v>17</v>
      </c>
      <c r="W41" s="775">
        <f t="shared" si="14"/>
        <v>100</v>
      </c>
      <c r="X41" s="1812"/>
      <c r="Y41" s="3507"/>
      <c r="Z41" s="1813" t="str">
        <f t="shared" si="15"/>
        <v>层高</v>
      </c>
      <c r="AA41" s="1810">
        <f t="shared" si="3"/>
        <v>1</v>
      </c>
      <c r="AB41" s="1810">
        <f t="shared" si="4"/>
        <v>1</v>
      </c>
      <c r="AC41" s="2674">
        <f t="shared" si="5"/>
        <v>1</v>
      </c>
    </row>
    <row r="42" spans="1:29" s="471" customFormat="1" ht="16">
      <c r="A42" s="468"/>
      <c r="B42" s="1811"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545"/>
      <c r="Q42" s="776" t="str">
        <f t="shared" si="11"/>
        <v>单套建筑面积</v>
      </c>
      <c r="R42" s="777" t="s">
        <v>17</v>
      </c>
      <c r="S42" s="778">
        <f t="shared" si="12"/>
        <v>100</v>
      </c>
      <c r="T42" s="777" t="s">
        <v>17</v>
      </c>
      <c r="U42" s="778">
        <f t="shared" si="13"/>
        <v>100</v>
      </c>
      <c r="V42" s="777" t="s">
        <v>17</v>
      </c>
      <c r="W42" s="778">
        <f t="shared" si="14"/>
        <v>100</v>
      </c>
      <c r="X42" s="779"/>
      <c r="Y42" s="3507"/>
      <c r="Z42" s="780" t="str">
        <f t="shared" si="15"/>
        <v>单套建筑面积</v>
      </c>
      <c r="AA42" s="1810">
        <f t="shared" si="3"/>
        <v>1</v>
      </c>
      <c r="AB42" s="1810">
        <f t="shared" si="4"/>
        <v>1</v>
      </c>
      <c r="AC42" s="2674">
        <f t="shared" si="5"/>
        <v>1</v>
      </c>
    </row>
    <row r="43" spans="1:29" ht="16">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545"/>
      <c r="Q43" s="1809" t="str">
        <f t="shared" si="11"/>
        <v>内部装修</v>
      </c>
      <c r="R43" s="774" t="s">
        <v>17</v>
      </c>
      <c r="S43" s="775">
        <f t="shared" si="12"/>
        <v>100</v>
      </c>
      <c r="T43" s="774" t="s">
        <v>17</v>
      </c>
      <c r="U43" s="775">
        <f t="shared" si="13"/>
        <v>100</v>
      </c>
      <c r="V43" s="774" t="s">
        <v>17</v>
      </c>
      <c r="W43" s="775">
        <f t="shared" si="14"/>
        <v>100</v>
      </c>
      <c r="X43" s="1812"/>
      <c r="Y43" s="3507"/>
      <c r="Z43" s="1813" t="str">
        <f t="shared" si="15"/>
        <v>内部装修</v>
      </c>
      <c r="AA43" s="1810">
        <f t="shared" si="3"/>
        <v>1</v>
      </c>
      <c r="AB43" s="1810">
        <f t="shared" si="4"/>
        <v>1</v>
      </c>
      <c r="AC43" s="2674">
        <f t="shared" si="5"/>
        <v>1</v>
      </c>
    </row>
    <row r="44" spans="1:29" ht="16">
      <c r="A44" s="472"/>
      <c r="B44" s="422" t="s">
        <v>2570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545"/>
      <c r="Q44" s="1809" t="str">
        <f t="shared" si="11"/>
        <v>内部装修维护情况</v>
      </c>
      <c r="R44" s="774" t="s">
        <v>17</v>
      </c>
      <c r="S44" s="775">
        <f t="shared" si="12"/>
        <v>100</v>
      </c>
      <c r="T44" s="774" t="s">
        <v>17</v>
      </c>
      <c r="U44" s="775">
        <f t="shared" si="13"/>
        <v>100</v>
      </c>
      <c r="V44" s="774" t="s">
        <v>17</v>
      </c>
      <c r="W44" s="775">
        <f t="shared" si="14"/>
        <v>100</v>
      </c>
      <c r="X44" s="1812"/>
      <c r="Y44" s="3507"/>
      <c r="Z44" s="1813" t="str">
        <f t="shared" si="15"/>
        <v>内部装修维护情况</v>
      </c>
      <c r="AA44" s="1810">
        <f t="shared" si="3"/>
        <v>1</v>
      </c>
      <c r="AB44" s="1810">
        <f t="shared" si="4"/>
        <v>1</v>
      </c>
      <c r="AC44" s="2674">
        <f t="shared" si="5"/>
        <v>1</v>
      </c>
    </row>
    <row r="45" spans="1:29" s="117" customFormat="1" ht="16">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545"/>
      <c r="Q45" s="1794">
        <f t="shared" si="11"/>
        <v>111</v>
      </c>
      <c r="R45" s="770" t="s">
        <v>17</v>
      </c>
      <c r="S45" s="771">
        <f t="shared" si="12"/>
        <v>100</v>
      </c>
      <c r="T45" s="770" t="s">
        <v>17</v>
      </c>
      <c r="U45" s="771">
        <f t="shared" si="13"/>
        <v>100</v>
      </c>
      <c r="V45" s="770" t="s">
        <v>17</v>
      </c>
      <c r="W45" s="771">
        <f t="shared" si="14"/>
        <v>100</v>
      </c>
      <c r="X45" s="772"/>
      <c r="Y45" s="3507"/>
      <c r="Z45" s="55">
        <f t="shared" si="15"/>
        <v>111</v>
      </c>
      <c r="AA45" s="773">
        <f t="shared" si="3"/>
        <v>1</v>
      </c>
      <c r="AB45" s="773">
        <f t="shared" si="4"/>
        <v>1</v>
      </c>
      <c r="AC45" s="2671">
        <f t="shared" si="5"/>
        <v>1</v>
      </c>
    </row>
    <row r="46" spans="1:29" ht="16">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545"/>
      <c r="Q46" s="1809">
        <f t="shared" si="11"/>
        <v>111</v>
      </c>
      <c r="R46" s="774" t="s">
        <v>17</v>
      </c>
      <c r="S46" s="775">
        <f t="shared" si="12"/>
        <v>100</v>
      </c>
      <c r="T46" s="774" t="s">
        <v>17</v>
      </c>
      <c r="U46" s="775">
        <f t="shared" si="13"/>
        <v>100</v>
      </c>
      <c r="V46" s="774" t="s">
        <v>17</v>
      </c>
      <c r="W46" s="775">
        <f t="shared" si="14"/>
        <v>100</v>
      </c>
      <c r="X46" s="1812"/>
      <c r="Y46" s="3507"/>
      <c r="Z46" s="1813">
        <f t="shared" si="15"/>
        <v>111</v>
      </c>
      <c r="AA46" s="1810">
        <f t="shared" si="3"/>
        <v>1</v>
      </c>
      <c r="AB46" s="1810">
        <f t="shared" si="4"/>
        <v>1</v>
      </c>
      <c r="AC46" s="2674">
        <f t="shared" si="5"/>
        <v>1</v>
      </c>
    </row>
    <row r="47" spans="1:29" ht="17"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546"/>
      <c r="Q47" s="1809">
        <f t="shared" si="11"/>
        <v>111</v>
      </c>
      <c r="R47" s="774" t="s">
        <v>17</v>
      </c>
      <c r="S47" s="775">
        <f t="shared" si="12"/>
        <v>100</v>
      </c>
      <c r="T47" s="774" t="s">
        <v>17</v>
      </c>
      <c r="U47" s="775">
        <f t="shared" si="13"/>
        <v>100</v>
      </c>
      <c r="V47" s="774" t="s">
        <v>17</v>
      </c>
      <c r="W47" s="775">
        <f t="shared" si="14"/>
        <v>100</v>
      </c>
      <c r="X47" s="1812"/>
      <c r="Y47" s="3547"/>
      <c r="Z47" s="1813">
        <f t="shared" si="15"/>
        <v>111</v>
      </c>
      <c r="AA47" s="1810">
        <f t="shared" si="3"/>
        <v>1</v>
      </c>
      <c r="AB47" s="1810">
        <f t="shared" si="4"/>
        <v>1</v>
      </c>
      <c r="AC47" s="2674">
        <f t="shared" si="5"/>
        <v>1</v>
      </c>
    </row>
    <row r="48" spans="1:29" ht="15">
      <c r="A48" s="479" t="s">
        <v>2571</v>
      </c>
      <c r="B48" s="480"/>
      <c r="C48" s="1407" t="s">
        <v>1</v>
      </c>
      <c r="D48" s="1408"/>
      <c r="E48" s="1409"/>
      <c r="F48" s="1410"/>
      <c r="G48" s="1411"/>
      <c r="H48" s="1412"/>
      <c r="I48" s="1409"/>
      <c r="J48" s="485"/>
      <c r="K48" s="783"/>
      <c r="L48" s="1143"/>
      <c r="M48" s="1131"/>
      <c r="N48" s="1131"/>
      <c r="O48" s="1131"/>
      <c r="P48" s="3513" t="str">
        <f>A48</f>
        <v>成交单价（元/平方米）</v>
      </c>
      <c r="Q48" s="3489"/>
      <c r="R48" s="3543">
        <f>E48</f>
        <v>0</v>
      </c>
      <c r="S48" s="3543"/>
      <c r="T48" s="3543">
        <f>G48</f>
        <v>0</v>
      </c>
      <c r="U48" s="3543"/>
      <c r="V48" s="3543">
        <f>I48</f>
        <v>0</v>
      </c>
      <c r="W48" s="3543"/>
      <c r="X48" s="446"/>
      <c r="Y48" s="781"/>
      <c r="Z48" s="446"/>
      <c r="AA48" s="446"/>
      <c r="AB48" s="446"/>
      <c r="AC48" s="630"/>
    </row>
    <row r="49" spans="1:29" ht="1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513" t="str">
        <f>A49</f>
        <v>比较价值（元/平方米）</v>
      </c>
      <c r="Q49" s="3489"/>
      <c r="R49" s="3543" t="e">
        <f>IF(F1="售价",ROUND(PRODUCT(R48,AA7:AA47),0),ROUND(PRODUCT(R48,AA7:AA47),1))</f>
        <v>#DIV/0!</v>
      </c>
      <c r="S49" s="3543"/>
      <c r="T49" s="3543" t="e">
        <f>IF(F1="售价",ROUND(PRODUCT(T48,AB7:AB47),0),ROUND(PRODUCT(T48,AB7:AB47),1))</f>
        <v>#DIV/0!</v>
      </c>
      <c r="U49" s="3543"/>
      <c r="V49" s="3543" t="e">
        <f>IF(F1="售价",ROUND(PRODUCT(V48,AC7:AC47),0),ROUND(PRODUCT(V48,AC7:AC47),1))</f>
        <v>#DIV/0!</v>
      </c>
      <c r="W49" s="3543"/>
      <c r="X49" s="446"/>
      <c r="Y49" s="446"/>
      <c r="Z49" s="446"/>
      <c r="AA49" s="446"/>
      <c r="AB49" s="446"/>
      <c r="AC49" s="630"/>
    </row>
    <row r="50" spans="1:29" ht="15" thickBot="1">
      <c r="A50" s="492" t="s">
        <v>2664</v>
      </c>
      <c r="B50" s="493"/>
      <c r="C50" s="1417" t="e">
        <f>R50</f>
        <v>#DIV/0!</v>
      </c>
      <c r="D50" s="1417"/>
      <c r="E50" s="1417"/>
      <c r="F50" s="1417"/>
      <c r="G50" s="1417"/>
      <c r="H50" s="1417"/>
      <c r="I50" s="1417"/>
      <c r="J50" s="494"/>
      <c r="K50" s="785"/>
      <c r="L50" s="1143"/>
      <c r="M50" s="1131"/>
      <c r="N50" s="1131"/>
      <c r="O50" s="1131"/>
      <c r="P50" s="3562" t="str">
        <f>A50</f>
        <v>估价对象XX用房的比较价值（楼面单价，元/平方米）</v>
      </c>
      <c r="Q50" s="3563"/>
      <c r="R50" s="3564" t="e">
        <f>IF(F1="售价",ROUND(AVERAGE(R49:V49),0),ROUND(AVERAGE(R49:V49),1))</f>
        <v>#DIV/0!</v>
      </c>
      <c r="S50" s="3564"/>
      <c r="T50" s="3564"/>
      <c r="U50" s="3564"/>
      <c r="V50" s="3564"/>
      <c r="W50" s="356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 thickBot="1">
      <c r="A58" s="763" t="s">
        <v>2668</v>
      </c>
      <c r="B58" s="759"/>
      <c r="C58" s="764"/>
      <c r="D58" s="764"/>
      <c r="E58" s="764"/>
      <c r="F58" s="765"/>
      <c r="G58" s="765"/>
      <c r="H58" s="764"/>
      <c r="I58" s="764"/>
      <c r="J58" s="764"/>
      <c r="K58" s="766"/>
      <c r="L58" s="1161"/>
      <c r="M58" s="1159"/>
      <c r="N58" s="1159"/>
      <c r="O58" s="1159"/>
      <c r="P58" s="2681"/>
      <c r="Q58" s="504"/>
    </row>
    <row r="59" spans="1:29" s="508" customFormat="1" ht="15">
      <c r="A59" s="505" t="s">
        <v>2542</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82"/>
    </row>
    <row r="61" spans="1:29" s="117" customFormat="1" ht="15" thickBot="1">
      <c r="A61" s="515" t="s">
        <v>2579</v>
      </c>
      <c r="B61" s="516"/>
      <c r="C61" s="517"/>
      <c r="D61" s="518"/>
      <c r="E61" s="518"/>
      <c r="F61" s="518"/>
      <c r="G61" s="518"/>
      <c r="H61" s="518"/>
      <c r="I61" s="518"/>
      <c r="J61" s="518"/>
      <c r="K61" s="518"/>
      <c r="L61" s="518"/>
      <c r="M61" s="519"/>
      <c r="N61" s="518"/>
      <c r="O61" s="519"/>
      <c r="P61" s="2682"/>
      <c r="Q61" s="504"/>
    </row>
    <row r="62" spans="1:29" s="117" customFormat="1" ht="15">
      <c r="A62" s="521" t="s">
        <v>2544</v>
      </c>
      <c r="B62" s="510"/>
      <c r="C62" s="522" t="s">
        <v>2646</v>
      </c>
      <c r="D62" s="523"/>
      <c r="E62" s="523"/>
      <c r="F62" s="523"/>
      <c r="G62" s="523"/>
      <c r="H62" s="523"/>
      <c r="I62" s="523"/>
      <c r="J62" s="523"/>
      <c r="K62" s="523"/>
      <c r="L62" s="524"/>
      <c r="M62" s="525"/>
      <c r="N62" s="1151"/>
      <c r="O62" s="1151"/>
      <c r="P62" s="2683"/>
      <c r="Q62" s="504"/>
    </row>
    <row r="63" spans="1:29" s="117" customFormat="1" ht="15" thickBot="1">
      <c r="A63" s="521"/>
      <c r="B63" s="510"/>
      <c r="C63" s="511">
        <v>100</v>
      </c>
      <c r="D63" s="512"/>
      <c r="E63" s="512"/>
      <c r="F63" s="512"/>
      <c r="G63" s="512"/>
      <c r="H63" s="512"/>
      <c r="I63" s="512"/>
      <c r="J63" s="512"/>
      <c r="K63" s="512"/>
      <c r="L63" s="512"/>
      <c r="M63" s="514"/>
      <c r="N63" s="1151"/>
      <c r="O63" s="1151"/>
      <c r="P63" s="2682"/>
      <c r="Q63" s="504"/>
    </row>
    <row r="64" spans="1:29" ht="15">
      <c r="A64" s="527" t="s">
        <v>2582</v>
      </c>
      <c r="B64" s="528" t="s">
        <v>2548</v>
      </c>
      <c r="C64" s="529">
        <f>C9</f>
        <v>0</v>
      </c>
      <c r="D64" s="530"/>
      <c r="E64" s="530"/>
      <c r="F64" s="530"/>
      <c r="G64" s="530"/>
      <c r="H64" s="530"/>
      <c r="I64" s="530"/>
      <c r="J64" s="530"/>
      <c r="K64" s="531"/>
      <c r="L64" s="532"/>
      <c r="M64" s="533"/>
      <c r="N64" s="1152"/>
      <c r="O64" s="1152"/>
      <c r="P64" s="2684"/>
      <c r="Q64" s="504"/>
    </row>
    <row r="65" spans="1:17" ht="15" thickBot="1">
      <c r="A65" s="534"/>
      <c r="B65" s="535"/>
      <c r="C65" s="536">
        <v>100</v>
      </c>
      <c r="D65" s="536"/>
      <c r="E65" s="536"/>
      <c r="F65" s="536"/>
      <c r="G65" s="536"/>
      <c r="H65" s="536"/>
      <c r="I65" s="536"/>
      <c r="J65" s="536"/>
      <c r="K65" s="536"/>
      <c r="L65" s="536"/>
      <c r="M65" s="537"/>
      <c r="N65" s="1153"/>
      <c r="O65" s="1153"/>
      <c r="P65" s="2684"/>
      <c r="Q65" s="504"/>
    </row>
    <row r="66" spans="1:17" ht="31"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4"/>
      <c r="Q66" s="504"/>
    </row>
    <row r="67" spans="1:17" ht="16"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6"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c r="A69" s="534"/>
      <c r="B69" s="548"/>
      <c r="C69" s="549"/>
      <c r="D69" s="549"/>
      <c r="E69" s="549"/>
      <c r="F69" s="549"/>
      <c r="G69" s="549"/>
      <c r="H69" s="549"/>
      <c r="I69" s="549"/>
      <c r="J69" s="549"/>
      <c r="K69" s="550"/>
      <c r="L69" s="551"/>
      <c r="M69" s="552"/>
      <c r="N69" s="1152"/>
      <c r="O69" s="1152"/>
      <c r="P69" s="2684"/>
      <c r="Q69" s="504"/>
    </row>
    <row r="70" spans="1:17" ht="1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 thickTop="1">
      <c r="A71" s="553"/>
      <c r="B71" s="538">
        <f>B12</f>
        <v>111</v>
      </c>
      <c r="C71" s="554"/>
      <c r="D71" s="554"/>
      <c r="E71" s="554"/>
      <c r="F71" s="554"/>
      <c r="G71" s="554"/>
      <c r="H71" s="555"/>
      <c r="I71" s="555"/>
      <c r="J71" s="555"/>
      <c r="K71" s="555"/>
      <c r="L71" s="556"/>
      <c r="M71" s="557"/>
      <c r="N71" s="1154"/>
      <c r="O71" s="1154"/>
      <c r="P71" s="2685"/>
      <c r="Q71" s="559"/>
    </row>
    <row r="72" spans="1:17" s="471" customFormat="1" ht="15" thickBot="1">
      <c r="A72" s="553"/>
      <c r="B72" s="543"/>
      <c r="C72" s="560"/>
      <c r="D72" s="536"/>
      <c r="E72" s="536"/>
      <c r="F72" s="536"/>
      <c r="G72" s="536"/>
      <c r="H72" s="536"/>
      <c r="I72" s="536"/>
      <c r="J72" s="536"/>
      <c r="K72" s="536"/>
      <c r="L72" s="536"/>
      <c r="M72" s="537"/>
      <c r="N72" s="1153"/>
      <c r="O72" s="1153"/>
      <c r="P72" s="2685"/>
      <c r="Q72" s="559"/>
    </row>
    <row r="73" spans="1:17" s="471" customFormat="1" ht="15" thickTop="1">
      <c r="A73" s="553"/>
      <c r="B73" s="538">
        <f>B13</f>
        <v>111</v>
      </c>
      <c r="C73" s="554"/>
      <c r="D73" s="554"/>
      <c r="E73" s="554"/>
      <c r="F73" s="554"/>
      <c r="G73" s="554"/>
      <c r="H73" s="555"/>
      <c r="I73" s="555"/>
      <c r="J73" s="555"/>
      <c r="K73" s="555"/>
      <c r="L73" s="556"/>
      <c r="M73" s="557"/>
      <c r="N73" s="1154"/>
      <c r="O73" s="1154"/>
      <c r="P73" s="2686"/>
      <c r="Q73" s="561"/>
    </row>
    <row r="74" spans="1:17" s="471" customFormat="1" ht="15" thickBot="1">
      <c r="A74" s="553"/>
      <c r="B74" s="543"/>
      <c r="C74" s="560"/>
      <c r="D74" s="560"/>
      <c r="E74" s="560"/>
      <c r="F74" s="560"/>
      <c r="G74" s="560"/>
      <c r="H74" s="562"/>
      <c r="I74" s="562"/>
      <c r="J74" s="562"/>
      <c r="K74" s="562"/>
      <c r="L74" s="562"/>
      <c r="M74" s="563"/>
      <c r="N74" s="1154"/>
      <c r="O74" s="1154"/>
      <c r="P74" s="2685"/>
      <c r="Q74" s="559"/>
    </row>
    <row r="75" spans="1:17" s="471" customFormat="1" ht="15" thickTop="1">
      <c r="A75" s="553"/>
      <c r="B75" s="546">
        <f>B14</f>
        <v>111</v>
      </c>
      <c r="C75" s="523"/>
      <c r="D75" s="523"/>
      <c r="E75" s="523"/>
      <c r="F75" s="523"/>
      <c r="G75" s="523"/>
      <c r="H75" s="564"/>
      <c r="I75" s="564"/>
      <c r="J75" s="564"/>
      <c r="K75" s="564"/>
      <c r="L75" s="565"/>
      <c r="M75" s="566"/>
      <c r="N75" s="1154"/>
      <c r="O75" s="1154"/>
      <c r="P75" s="2687"/>
      <c r="Q75" s="559"/>
    </row>
    <row r="76" spans="1:17" s="471" customFormat="1" ht="15" thickBot="1">
      <c r="A76" s="568"/>
      <c r="B76" s="569"/>
      <c r="C76" s="570"/>
      <c r="D76" s="570"/>
      <c r="E76" s="570"/>
      <c r="F76" s="570"/>
      <c r="G76" s="570"/>
      <c r="H76" s="571"/>
      <c r="I76" s="571"/>
      <c r="J76" s="571"/>
      <c r="K76" s="571"/>
      <c r="L76" s="571"/>
      <c r="M76" s="572"/>
      <c r="N76" s="1154"/>
      <c r="O76" s="1154"/>
      <c r="P76" s="2685"/>
      <c r="Q76" s="559"/>
    </row>
    <row r="77" spans="1:17" ht="15">
      <c r="A77" s="527" t="s">
        <v>2553</v>
      </c>
      <c r="B77" s="528" t="s">
        <v>2691</v>
      </c>
      <c r="C77" s="573" t="s">
        <v>2591</v>
      </c>
      <c r="D77" s="573" t="s">
        <v>2592</v>
      </c>
      <c r="E77" s="573" t="s">
        <v>2593</v>
      </c>
      <c r="F77" s="573" t="s">
        <v>2594</v>
      </c>
      <c r="G77" s="573" t="s">
        <v>2595</v>
      </c>
      <c r="H77" s="529"/>
      <c r="I77" s="529"/>
      <c r="J77" s="529"/>
      <c r="K77" s="574"/>
      <c r="L77" s="575"/>
      <c r="M77" s="576"/>
      <c r="N77" s="1152"/>
      <c r="O77" s="1152"/>
      <c r="P77" s="2688"/>
      <c r="Q77" s="504"/>
    </row>
    <row r="78" spans="1:17" ht="1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6" thickTop="1">
      <c r="A79" s="534"/>
      <c r="B79" s="538" t="s">
        <v>2596</v>
      </c>
      <c r="C79" s="578" t="s">
        <v>2591</v>
      </c>
      <c r="D79" s="578" t="s">
        <v>2592</v>
      </c>
      <c r="E79" s="578" t="s">
        <v>2593</v>
      </c>
      <c r="F79" s="578" t="s">
        <v>2594</v>
      </c>
      <c r="G79" s="578" t="s">
        <v>2595</v>
      </c>
      <c r="H79" s="539"/>
      <c r="I79" s="539"/>
      <c r="J79" s="539"/>
      <c r="K79" s="540"/>
      <c r="L79" s="541"/>
      <c r="M79" s="542"/>
      <c r="N79" s="1152"/>
      <c r="O79" s="1152"/>
      <c r="P79" s="2684"/>
      <c r="Q79" s="504"/>
    </row>
    <row r="80" spans="1:17" ht="1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6" thickTop="1">
      <c r="A81" s="534"/>
      <c r="B81" s="538" t="s">
        <v>2597</v>
      </c>
      <c r="C81" s="578" t="s">
        <v>2591</v>
      </c>
      <c r="D81" s="578" t="s">
        <v>2592</v>
      </c>
      <c r="E81" s="578" t="s">
        <v>2593</v>
      </c>
      <c r="F81" s="578" t="s">
        <v>2594</v>
      </c>
      <c r="G81" s="578" t="s">
        <v>2595</v>
      </c>
      <c r="H81" s="539"/>
      <c r="I81" s="539"/>
      <c r="J81" s="539"/>
      <c r="K81" s="540"/>
      <c r="L81" s="541"/>
      <c r="M81" s="542"/>
      <c r="N81" s="1152"/>
      <c r="O81" s="1152"/>
      <c r="P81" s="2684"/>
      <c r="Q81" s="504"/>
    </row>
    <row r="82" spans="1:17" ht="1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6" thickTop="1">
      <c r="A83" s="534"/>
      <c r="B83" s="546" t="s">
        <v>2683</v>
      </c>
      <c r="C83" s="660" t="s">
        <v>2669</v>
      </c>
      <c r="D83" s="660" t="s">
        <v>2670</v>
      </c>
      <c r="E83" s="660" t="s">
        <v>2671</v>
      </c>
      <c r="F83" s="660" t="s">
        <v>2672</v>
      </c>
      <c r="G83" s="660" t="s">
        <v>2673</v>
      </c>
      <c r="H83" s="539"/>
      <c r="I83" s="539"/>
      <c r="J83" s="539"/>
      <c r="K83" s="539"/>
      <c r="L83" s="539"/>
      <c r="M83" s="1382"/>
      <c r="N83" s="1153"/>
      <c r="O83" s="1153"/>
      <c r="P83" s="2684"/>
      <c r="Q83" s="504"/>
    </row>
    <row r="84" spans="1:17" ht="1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6" thickTop="1">
      <c r="A85" s="534"/>
      <c r="B85" s="538" t="s">
        <v>2692</v>
      </c>
      <c r="C85" s="578" t="s">
        <v>2591</v>
      </c>
      <c r="D85" s="578" t="s">
        <v>2592</v>
      </c>
      <c r="E85" s="578" t="s">
        <v>2593</v>
      </c>
      <c r="F85" s="578" t="s">
        <v>2594</v>
      </c>
      <c r="G85" s="578" t="s">
        <v>2595</v>
      </c>
      <c r="H85" s="539"/>
      <c r="I85" s="539"/>
      <c r="J85" s="539"/>
      <c r="K85" s="540"/>
      <c r="L85" s="541"/>
      <c r="M85" s="542"/>
      <c r="N85" s="1152"/>
      <c r="O85" s="1152"/>
      <c r="P85" s="2684"/>
      <c r="Q85" s="504"/>
    </row>
    <row r="86" spans="1:17" ht="1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31" thickTop="1">
      <c r="A87" s="579"/>
      <c r="B87" s="538" t="s">
        <v>2693</v>
      </c>
      <c r="C87" s="554"/>
      <c r="D87" s="554"/>
      <c r="E87" s="554"/>
      <c r="F87" s="554"/>
      <c r="G87" s="554"/>
      <c r="H87" s="554"/>
      <c r="I87" s="554"/>
      <c r="J87" s="554"/>
      <c r="K87" s="554"/>
      <c r="L87" s="580"/>
      <c r="M87" s="581"/>
      <c r="N87" s="1151"/>
      <c r="O87" s="1151"/>
      <c r="P87" s="2684"/>
      <c r="Q87" s="504"/>
    </row>
    <row r="88" spans="1:17" s="117" customFormat="1" ht="1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6"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6"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 thickTop="1">
      <c r="A93" s="534"/>
      <c r="B93" s="538">
        <f>B29</f>
        <v>111</v>
      </c>
      <c r="C93" s="554"/>
      <c r="D93" s="554"/>
      <c r="E93" s="554"/>
      <c r="F93" s="554"/>
      <c r="G93" s="554"/>
      <c r="H93" s="554"/>
      <c r="I93" s="554"/>
      <c r="J93" s="554"/>
      <c r="K93" s="554"/>
      <c r="L93" s="580"/>
      <c r="M93" s="581"/>
      <c r="N93" s="1152"/>
      <c r="O93" s="1152"/>
      <c r="P93" s="2684"/>
      <c r="Q93" s="504"/>
    </row>
    <row r="94" spans="1:17" ht="15" thickBot="1">
      <c r="A94" s="534"/>
      <c r="B94" s="543"/>
      <c r="C94" s="560"/>
      <c r="D94" s="536"/>
      <c r="E94" s="536"/>
      <c r="F94" s="536"/>
      <c r="G94" s="536"/>
      <c r="H94" s="536"/>
      <c r="I94" s="536"/>
      <c r="J94" s="536"/>
      <c r="K94" s="536"/>
      <c r="L94" s="536"/>
      <c r="M94" s="537"/>
      <c r="N94" s="1153"/>
      <c r="O94" s="1153"/>
      <c r="P94" s="2684"/>
      <c r="Q94" s="504"/>
    </row>
    <row r="95" spans="1:17" ht="15" thickTop="1">
      <c r="A95" s="534"/>
      <c r="B95" s="538">
        <f>B30</f>
        <v>111</v>
      </c>
      <c r="C95" s="554"/>
      <c r="D95" s="554"/>
      <c r="E95" s="554"/>
      <c r="F95" s="554"/>
      <c r="G95" s="583"/>
      <c r="H95" s="583"/>
      <c r="I95" s="583"/>
      <c r="J95" s="583"/>
      <c r="K95" s="584"/>
      <c r="L95" s="585"/>
      <c r="M95" s="586"/>
      <c r="N95" s="1152"/>
      <c r="O95" s="1152"/>
      <c r="P95" s="2684"/>
      <c r="Q95" s="504"/>
    </row>
    <row r="96" spans="1:17" ht="15" thickBot="1">
      <c r="A96" s="534"/>
      <c r="B96" s="543"/>
      <c r="C96" s="560"/>
      <c r="D96" s="560"/>
      <c r="E96" s="560"/>
      <c r="F96" s="560"/>
      <c r="G96" s="536"/>
      <c r="H96" s="536"/>
      <c r="I96" s="536"/>
      <c r="J96" s="536"/>
      <c r="K96" s="536"/>
      <c r="L96" s="536"/>
      <c r="M96" s="537"/>
      <c r="N96" s="1153"/>
      <c r="O96" s="1153"/>
      <c r="P96" s="2684"/>
      <c r="Q96" s="504"/>
    </row>
    <row r="97" spans="1:17" ht="15" thickTop="1">
      <c r="A97" s="534"/>
      <c r="B97" s="538">
        <f>B31</f>
        <v>111</v>
      </c>
      <c r="C97" s="554"/>
      <c r="D97" s="554"/>
      <c r="E97" s="554"/>
      <c r="F97" s="554"/>
      <c r="G97" s="583"/>
      <c r="H97" s="583"/>
      <c r="I97" s="583"/>
      <c r="J97" s="583"/>
      <c r="K97" s="584"/>
      <c r="L97" s="585"/>
      <c r="M97" s="586"/>
      <c r="N97" s="1152"/>
      <c r="O97" s="1152"/>
      <c r="P97" s="2684"/>
      <c r="Q97" s="504"/>
    </row>
    <row r="98" spans="1:17" ht="15" thickBot="1">
      <c r="A98" s="534"/>
      <c r="B98" s="543"/>
      <c r="C98" s="560"/>
      <c r="D98" s="536"/>
      <c r="E98" s="536"/>
      <c r="F98" s="536"/>
      <c r="G98" s="536"/>
      <c r="H98" s="536"/>
      <c r="I98" s="536"/>
      <c r="J98" s="536"/>
      <c r="K98" s="536"/>
      <c r="L98" s="536"/>
      <c r="M98" s="537"/>
      <c r="N98" s="1153"/>
      <c r="O98" s="1153"/>
      <c r="P98" s="2684"/>
      <c r="Q98" s="504"/>
    </row>
    <row r="99" spans="1:17" ht="15" thickTop="1">
      <c r="A99" s="534"/>
      <c r="B99" s="546">
        <f>B32</f>
        <v>111</v>
      </c>
      <c r="C99" s="523"/>
      <c r="D99" s="523"/>
      <c r="E99" s="523"/>
      <c r="F99" s="523"/>
      <c r="G99" s="587"/>
      <c r="H99" s="587"/>
      <c r="I99" s="587"/>
      <c r="J99" s="587"/>
      <c r="K99" s="588"/>
      <c r="L99" s="589"/>
      <c r="M99" s="590"/>
      <c r="N99" s="1152"/>
      <c r="O99" s="1152"/>
      <c r="P99" s="2684"/>
      <c r="Q99" s="504"/>
    </row>
    <row r="100" spans="1:17" ht="15" thickBot="1">
      <c r="A100" s="2636"/>
      <c r="B100" s="569"/>
      <c r="C100" s="570"/>
      <c r="D100" s="570"/>
      <c r="E100" s="570"/>
      <c r="F100" s="570"/>
      <c r="G100" s="591"/>
      <c r="H100" s="591"/>
      <c r="I100" s="591"/>
      <c r="J100" s="591"/>
      <c r="K100" s="591"/>
      <c r="L100" s="591"/>
      <c r="M100" s="592"/>
      <c r="N100" s="1153"/>
      <c r="O100" s="1153"/>
      <c r="P100" s="2684"/>
      <c r="Q100" s="504"/>
    </row>
    <row r="101" spans="1:17" ht="15">
      <c r="A101" s="527" t="s">
        <v>2557</v>
      </c>
      <c r="B101" s="528" t="s">
        <v>2606</v>
      </c>
      <c r="C101" s="530"/>
      <c r="D101" s="530"/>
      <c r="E101" s="530"/>
      <c r="F101" s="530"/>
      <c r="G101" s="530"/>
      <c r="H101" s="530"/>
      <c r="I101" s="530"/>
      <c r="J101" s="530"/>
      <c r="K101" s="531"/>
      <c r="L101" s="532"/>
      <c r="M101" s="533"/>
      <c r="N101" s="1152"/>
      <c r="O101" s="1152"/>
      <c r="P101" s="2684"/>
      <c r="Q101" s="504"/>
    </row>
    <row r="102" spans="1:17" ht="1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6"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 thickBot="1">
      <c r="A105" s="553"/>
      <c r="B105" s="543"/>
      <c r="C105" s="560"/>
      <c r="D105" s="536"/>
      <c r="E105" s="536"/>
      <c r="F105" s="536"/>
      <c r="G105" s="536"/>
      <c r="H105" s="536"/>
      <c r="I105" s="536"/>
      <c r="J105" s="536"/>
      <c r="K105" s="536"/>
      <c r="L105" s="536"/>
      <c r="M105" s="537"/>
      <c r="N105" s="1153"/>
      <c r="O105" s="1153"/>
      <c r="P105" s="2685"/>
      <c r="Q105" s="559"/>
    </row>
    <row r="106" spans="1:17" ht="16" thickTop="1">
      <c r="A106" s="599"/>
      <c r="B106" s="538" t="s">
        <v>2608</v>
      </c>
      <c r="C106" s="554"/>
      <c r="D106" s="554"/>
      <c r="E106" s="583"/>
      <c r="F106" s="583"/>
      <c r="G106" s="583"/>
      <c r="H106" s="583"/>
      <c r="I106" s="583"/>
      <c r="J106" s="583"/>
      <c r="K106" s="584"/>
      <c r="L106" s="585"/>
      <c r="M106" s="586"/>
      <c r="N106" s="1152"/>
      <c r="O106" s="1152"/>
      <c r="P106" s="2684"/>
      <c r="Q106" s="504"/>
    </row>
    <row r="107" spans="1:17" ht="1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6" thickTop="1">
      <c r="A108" s="599"/>
      <c r="B108" s="538" t="s">
        <v>2610</v>
      </c>
      <c r="C108" s="554"/>
      <c r="D108" s="554"/>
      <c r="E108" s="554"/>
      <c r="F108" s="583"/>
      <c r="G108" s="583"/>
      <c r="H108" s="583"/>
      <c r="I108" s="583"/>
      <c r="J108" s="583"/>
      <c r="K108" s="584"/>
      <c r="L108" s="585"/>
      <c r="M108" s="586"/>
      <c r="N108" s="1152"/>
      <c r="O108" s="1152"/>
      <c r="P108" s="2684"/>
      <c r="Q108" s="504"/>
    </row>
    <row r="109" spans="1:17" ht="1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6"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6" thickTop="1">
      <c r="A113" s="593"/>
      <c r="B113" s="538" t="s">
        <v>2694</v>
      </c>
      <c r="C113" s="554"/>
      <c r="D113" s="554"/>
      <c r="E113" s="554"/>
      <c r="F113" s="554"/>
      <c r="G113" s="554"/>
      <c r="H113" s="583"/>
      <c r="I113" s="583"/>
      <c r="J113" s="583"/>
      <c r="K113" s="584"/>
      <c r="L113" s="585"/>
      <c r="M113" s="586"/>
      <c r="N113" s="1154"/>
      <c r="O113" s="1154"/>
      <c r="P113" s="2685"/>
      <c r="Q113" s="559"/>
    </row>
    <row r="114" spans="1:17" s="471" customFormat="1" ht="1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6" thickTop="1">
      <c r="A115" s="599"/>
      <c r="B115" s="538" t="s">
        <v>2611</v>
      </c>
      <c r="C115" s="554"/>
      <c r="D115" s="554"/>
      <c r="E115" s="583"/>
      <c r="F115" s="583"/>
      <c r="G115" s="583"/>
      <c r="H115" s="583"/>
      <c r="I115" s="583"/>
      <c r="J115" s="583"/>
      <c r="K115" s="584"/>
      <c r="L115" s="585"/>
      <c r="M115" s="586"/>
      <c r="N115" s="1152"/>
      <c r="O115" s="1152"/>
      <c r="P115" s="2684"/>
      <c r="Q115" s="504"/>
    </row>
    <row r="116" spans="1:17" ht="1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6" thickTop="1">
      <c r="A117" s="599"/>
      <c r="B117" s="538" t="s">
        <v>2612</v>
      </c>
      <c r="C117" s="554"/>
      <c r="D117" s="554"/>
      <c r="E117" s="554"/>
      <c r="F117" s="554"/>
      <c r="G117" s="554"/>
      <c r="H117" s="583"/>
      <c r="I117" s="583"/>
      <c r="J117" s="583"/>
      <c r="K117" s="584"/>
      <c r="L117" s="585"/>
      <c r="M117" s="586"/>
      <c r="N117" s="1152"/>
      <c r="O117" s="1152"/>
      <c r="P117" s="2684"/>
      <c r="Q117" s="504"/>
    </row>
    <row r="118" spans="1:17" ht="1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6" thickTop="1">
      <c r="A119" s="599"/>
      <c r="B119" s="636" t="s">
        <v>2695</v>
      </c>
      <c r="C119" s="583"/>
      <c r="D119" s="583"/>
      <c r="E119" s="583"/>
      <c r="F119" s="583"/>
      <c r="G119" s="583"/>
      <c r="H119" s="583"/>
      <c r="I119" s="583"/>
      <c r="J119" s="583"/>
      <c r="K119" s="583"/>
      <c r="L119" s="2689"/>
      <c r="M119" s="2690"/>
      <c r="N119" s="1153"/>
      <c r="O119" s="1153"/>
      <c r="P119" s="2691"/>
      <c r="Q119" s="638"/>
    </row>
    <row r="120" spans="1:17" ht="1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6" thickTop="1">
      <c r="A121" s="593"/>
      <c r="B121" s="538" t="s">
        <v>2678</v>
      </c>
      <c r="C121" s="554"/>
      <c r="D121" s="554"/>
      <c r="E121" s="554"/>
      <c r="F121" s="583"/>
      <c r="G121" s="555"/>
      <c r="H121" s="555"/>
      <c r="I121" s="555"/>
      <c r="J121" s="555"/>
      <c r="K121" s="555"/>
      <c r="L121" s="556"/>
      <c r="M121" s="557"/>
      <c r="N121" s="1154"/>
      <c r="O121" s="1154"/>
      <c r="P121" s="2685"/>
      <c r="Q121" s="559"/>
    </row>
    <row r="122" spans="1:17" s="471" customFormat="1" ht="15" thickBot="1">
      <c r="A122" s="553"/>
      <c r="B122" s="535"/>
      <c r="C122" s="560"/>
      <c r="D122" s="560"/>
      <c r="E122" s="560"/>
      <c r="F122" s="560"/>
      <c r="G122" s="560"/>
      <c r="H122" s="560"/>
      <c r="I122" s="560"/>
      <c r="J122" s="560"/>
      <c r="K122" s="560"/>
      <c r="L122" s="560"/>
      <c r="M122" s="560"/>
      <c r="N122" s="1154"/>
      <c r="O122" s="1154"/>
      <c r="P122" s="2685"/>
      <c r="Q122" s="559"/>
    </row>
    <row r="123" spans="1:17" ht="16" thickTop="1">
      <c r="A123" s="599"/>
      <c r="B123" s="538" t="s">
        <v>2614</v>
      </c>
      <c r="C123" s="554"/>
      <c r="D123" s="554"/>
      <c r="E123" s="554"/>
      <c r="F123" s="583"/>
      <c r="G123" s="583"/>
      <c r="H123" s="583"/>
      <c r="I123" s="583"/>
      <c r="J123" s="583"/>
      <c r="K123" s="584"/>
      <c r="L123" s="585"/>
      <c r="M123" s="586"/>
      <c r="N123" s="1152"/>
      <c r="O123" s="1152"/>
      <c r="P123" s="2684"/>
      <c r="Q123" s="504"/>
    </row>
    <row r="124" spans="1:17" ht="1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6"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5"/>
      <c r="Q125" s="504"/>
    </row>
    <row r="126" spans="1:17" ht="1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C2" xr:uid="{00000000-0002-0000-2800-000016000000}">
      <formula1>"需扣减承租人权益,——"</formula1>
    </dataValidation>
    <dataValidation type="list" allowBlank="1" showInputMessage="1" showErrorMessage="1" sqref="F2" xr:uid="{00000000-0002-0000-28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zoomScale="90" zoomScaleNormal="90" workbookViewId="0">
      <selection sqref="A1:XFD1048576"/>
    </sheetView>
  </sheetViews>
  <sheetFormatPr baseColWidth="10" defaultColWidth="9" defaultRowHeight="14"/>
  <cols>
    <col min="1" max="1" width="10.5" style="403" customWidth="1"/>
    <col min="2" max="2" width="15.832031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8" customFormat="1" ht="28.5" customHeight="1" thickBot="1">
      <c r="A1" s="1617" t="s">
        <v>2522</v>
      </c>
      <c r="B1" s="2669" t="s">
        <v>2696</v>
      </c>
      <c r="C1" s="1619" t="s">
        <v>2524</v>
      </c>
      <c r="D1" s="1620"/>
      <c r="E1" s="1629"/>
      <c r="F1" s="2584"/>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IF(C2="——",ROUND(C43*D3/10000,0),ROUND(C43*D3/10000,0)-D2)</f>
        <v>#DIV/0!</v>
      </c>
      <c r="C2" s="2586"/>
      <c r="D2" s="1124"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993873.23100000003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490" t="s">
        <v>2640</v>
      </c>
      <c r="D4" s="3491"/>
      <c r="E4" s="3492" t="s">
        <v>2641</v>
      </c>
      <c r="F4" s="3493"/>
      <c r="G4" s="3490" t="s">
        <v>2642</v>
      </c>
      <c r="H4" s="3491"/>
      <c r="I4" s="3490" t="s">
        <v>2643</v>
      </c>
      <c r="J4" s="3491"/>
      <c r="K4" s="610" t="s">
        <v>2644</v>
      </c>
      <c r="L4" s="1130"/>
      <c r="M4" s="1131"/>
      <c r="N4" s="1131"/>
      <c r="O4" s="1131"/>
      <c r="P4" s="3494" t="s">
        <v>2645</v>
      </c>
      <c r="Q4" s="3495"/>
      <c r="R4" s="3477" t="s">
        <v>2641</v>
      </c>
      <c r="S4" s="3478"/>
      <c r="T4" s="3477" t="s">
        <v>2642</v>
      </c>
      <c r="U4" s="3478"/>
      <c r="V4" s="3502" t="s">
        <v>2643</v>
      </c>
      <c r="W4" s="3502"/>
      <c r="X4" s="1812"/>
      <c r="Y4" s="3477" t="s">
        <v>2645</v>
      </c>
      <c r="Z4" s="3478"/>
      <c r="AA4" s="3472" t="s">
        <v>2641</v>
      </c>
      <c r="AB4" s="3473" t="s">
        <v>2642</v>
      </c>
      <c r="AC4" s="3472" t="s">
        <v>2643</v>
      </c>
    </row>
    <row r="5" spans="1:29">
      <c r="A5" s="404"/>
      <c r="B5" s="405"/>
      <c r="C5" s="3483" t="s">
        <v>2536</v>
      </c>
      <c r="D5" s="3484"/>
      <c r="E5" s="3481" t="s">
        <v>2537</v>
      </c>
      <c r="F5" s="3482"/>
      <c r="G5" s="3483" t="s">
        <v>2538</v>
      </c>
      <c r="H5" s="3484"/>
      <c r="I5" s="3483" t="s">
        <v>2539</v>
      </c>
      <c r="J5" s="3484"/>
      <c r="K5" s="610"/>
      <c r="L5" s="1130"/>
      <c r="M5" s="1131"/>
      <c r="N5" s="1131"/>
      <c r="O5" s="1131"/>
      <c r="P5" s="3496"/>
      <c r="Q5" s="3497"/>
      <c r="R5" s="3479"/>
      <c r="S5" s="3480"/>
      <c r="T5" s="3479"/>
      <c r="U5" s="3480"/>
      <c r="V5" s="3502"/>
      <c r="W5" s="3502"/>
      <c r="X5" s="1812"/>
      <c r="Y5" s="3479"/>
      <c r="Z5" s="3480"/>
      <c r="AA5" s="3473"/>
      <c r="AB5" s="3473"/>
      <c r="AC5" s="3473"/>
    </row>
    <row r="6" spans="1:29" ht="16" thickBot="1">
      <c r="A6" s="406"/>
      <c r="B6" s="407"/>
      <c r="C6" s="3485" t="s">
        <v>2540</v>
      </c>
      <c r="D6" s="3486"/>
      <c r="E6" s="3487" t="s">
        <v>2540</v>
      </c>
      <c r="F6" s="3488"/>
      <c r="G6" s="3485" t="s">
        <v>2540</v>
      </c>
      <c r="H6" s="3486"/>
      <c r="I6" s="3485" t="s">
        <v>2540</v>
      </c>
      <c r="J6" s="3486"/>
      <c r="K6" s="610" t="s">
        <v>2541</v>
      </c>
      <c r="L6" s="1130"/>
      <c r="M6" s="1131"/>
      <c r="N6" s="1131"/>
      <c r="O6" s="1131"/>
      <c r="P6" s="3498"/>
      <c r="Q6" s="3499"/>
      <c r="R6" s="3479"/>
      <c r="S6" s="3480"/>
      <c r="T6" s="3500"/>
      <c r="U6" s="3501"/>
      <c r="V6" s="3502"/>
      <c r="W6" s="3502"/>
      <c r="X6" s="1812"/>
      <c r="Y6" s="3500"/>
      <c r="Z6" s="3501"/>
      <c r="AA6" s="3474"/>
      <c r="AB6" s="3474"/>
      <c r="AC6" s="3474"/>
    </row>
    <row r="7" spans="1:29" s="117" customFormat="1" ht="16" thickBot="1">
      <c r="A7" s="408" t="s">
        <v>2542</v>
      </c>
      <c r="B7" s="409"/>
      <c r="C7" s="410">
        <f>'数据-取费表'!B2</f>
        <v>43905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475" t="s">
        <v>2543</v>
      </c>
      <c r="Q7" s="3503"/>
      <c r="R7" s="770" t="s">
        <v>17</v>
      </c>
      <c r="S7" s="771">
        <f t="shared" ref="S7:S15" si="0">F7</f>
        <v>0</v>
      </c>
      <c r="T7" s="770" t="s">
        <v>17</v>
      </c>
      <c r="U7" s="771">
        <f t="shared" ref="U7:U15" si="1">H7</f>
        <v>0</v>
      </c>
      <c r="V7" s="770" t="s">
        <v>17</v>
      </c>
      <c r="W7" s="771">
        <f t="shared" ref="W7:W15" si="2">J7</f>
        <v>0</v>
      </c>
      <c r="X7" s="772"/>
      <c r="Y7" s="3475" t="s">
        <v>2543</v>
      </c>
      <c r="Z7" s="3476"/>
      <c r="AA7" s="773" t="e">
        <f>D7/F7</f>
        <v>#DIV/0!</v>
      </c>
      <c r="AB7" s="773" t="e">
        <f>D7/H7</f>
        <v>#DIV/0!</v>
      </c>
      <c r="AC7" s="773" t="e">
        <f>D7/J7</f>
        <v>#DIV/0!</v>
      </c>
    </row>
    <row r="8" spans="1:29" s="117" customFormat="1" ht="16"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475" t="s">
        <v>2546</v>
      </c>
      <c r="Q8" s="3476"/>
      <c r="R8" s="770" t="s">
        <v>17</v>
      </c>
      <c r="S8" s="771">
        <f t="shared" si="0"/>
        <v>0</v>
      </c>
      <c r="T8" s="770" t="s">
        <v>17</v>
      </c>
      <c r="U8" s="771">
        <f t="shared" si="1"/>
        <v>0</v>
      </c>
      <c r="V8" s="770" t="s">
        <v>17</v>
      </c>
      <c r="W8" s="771">
        <f t="shared" si="2"/>
        <v>0</v>
      </c>
      <c r="X8" s="772"/>
      <c r="Y8" s="3475" t="s">
        <v>2546</v>
      </c>
      <c r="Z8" s="3476"/>
      <c r="AA8" s="773" t="e">
        <f t="shared" ref="AA8:AA40" si="3">D8/F8</f>
        <v>#DIV/0!</v>
      </c>
      <c r="AB8" s="773" t="e">
        <f t="shared" ref="AB8:AB40" si="4">D8/H8</f>
        <v>#DIV/0!</v>
      </c>
      <c r="AC8" s="773" t="e">
        <f t="shared" ref="AC8:AC40" si="5">D8/J8</f>
        <v>#DIV/0!</v>
      </c>
    </row>
    <row r="9" spans="1:29" s="117" customFormat="1" ht="15">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489" t="s">
        <v>2549</v>
      </c>
      <c r="Q9" s="1794" t="str">
        <f t="shared" ref="Q9:Q15" si="6">B9</f>
        <v>用途</v>
      </c>
      <c r="R9" s="770" t="s">
        <v>17</v>
      </c>
      <c r="S9" s="771">
        <f t="shared" si="0"/>
        <v>100</v>
      </c>
      <c r="T9" s="770" t="s">
        <v>17</v>
      </c>
      <c r="U9" s="771">
        <f t="shared" si="1"/>
        <v>100</v>
      </c>
      <c r="V9" s="770" t="s">
        <v>17</v>
      </c>
      <c r="W9" s="771">
        <f t="shared" si="2"/>
        <v>100</v>
      </c>
      <c r="X9" s="772"/>
      <c r="Y9" s="3219" t="s">
        <v>2550</v>
      </c>
      <c r="Z9" s="55" t="str">
        <f t="shared" ref="Z9:Z15" si="7">Q9</f>
        <v>用途</v>
      </c>
      <c r="AA9" s="773">
        <f t="shared" si="3"/>
        <v>1</v>
      </c>
      <c r="AB9" s="773">
        <f t="shared" si="4"/>
        <v>1</v>
      </c>
      <c r="AC9" s="773">
        <f t="shared" si="5"/>
        <v>1</v>
      </c>
    </row>
    <row r="10" spans="1:29" s="427" customFormat="1" ht="30">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489"/>
      <c r="Q10" s="1794" t="str">
        <f t="shared" si="6"/>
        <v>土地使用年限（年）</v>
      </c>
      <c r="R10" s="770" t="s">
        <v>17</v>
      </c>
      <c r="S10" s="771">
        <f t="shared" si="0"/>
        <v>100</v>
      </c>
      <c r="T10" s="770" t="s">
        <v>17</v>
      </c>
      <c r="U10" s="771">
        <f t="shared" si="1"/>
        <v>100</v>
      </c>
      <c r="V10" s="770" t="s">
        <v>17</v>
      </c>
      <c r="W10" s="771">
        <f t="shared" si="2"/>
        <v>100</v>
      </c>
      <c r="X10" s="772"/>
      <c r="Y10" s="3219"/>
      <c r="Z10" s="55" t="str">
        <f t="shared" si="7"/>
        <v>土地使用年限（年）</v>
      </c>
      <c r="AA10" s="773">
        <f t="shared" si="3"/>
        <v>1</v>
      </c>
      <c r="AB10" s="773">
        <f t="shared" si="4"/>
        <v>1</v>
      </c>
      <c r="AC10" s="773">
        <f t="shared" si="5"/>
        <v>1</v>
      </c>
    </row>
    <row r="11" spans="1:29" ht="16">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489"/>
      <c r="Q11" s="1794" t="str">
        <f t="shared" si="6"/>
        <v>容积率</v>
      </c>
      <c r="R11" s="770" t="s">
        <v>17</v>
      </c>
      <c r="S11" s="771" t="e">
        <f t="shared" si="0"/>
        <v>#N/A</v>
      </c>
      <c r="T11" s="770" t="s">
        <v>17</v>
      </c>
      <c r="U11" s="771" t="e">
        <f t="shared" si="1"/>
        <v>#N/A</v>
      </c>
      <c r="V11" s="770" t="s">
        <v>17</v>
      </c>
      <c r="W11" s="771" t="e">
        <f t="shared" si="2"/>
        <v>#N/A</v>
      </c>
      <c r="X11" s="772"/>
      <c r="Y11" s="3219"/>
      <c r="Z11" s="55" t="str">
        <f t="shared" si="7"/>
        <v>容积率</v>
      </c>
      <c r="AA11" s="773" t="e">
        <f t="shared" si="3"/>
        <v>#N/A</v>
      </c>
      <c r="AB11" s="773" t="e">
        <f t="shared" si="4"/>
        <v>#N/A</v>
      </c>
      <c r="AC11" s="773" t="e">
        <f t="shared" si="5"/>
        <v>#N/A</v>
      </c>
    </row>
    <row r="12" spans="1:29" s="117" customFormat="1" ht="16">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489"/>
      <c r="Q12" s="1794">
        <f t="shared" si="6"/>
        <v>111</v>
      </c>
      <c r="R12" s="770" t="s">
        <v>17</v>
      </c>
      <c r="S12" s="771">
        <f t="shared" si="0"/>
        <v>100</v>
      </c>
      <c r="T12" s="770" t="s">
        <v>17</v>
      </c>
      <c r="U12" s="771">
        <f t="shared" si="1"/>
        <v>100</v>
      </c>
      <c r="V12" s="770" t="s">
        <v>17</v>
      </c>
      <c r="W12" s="771">
        <f t="shared" si="2"/>
        <v>100</v>
      </c>
      <c r="X12" s="772"/>
      <c r="Y12" s="3219"/>
      <c r="Z12" s="55">
        <f t="shared" si="7"/>
        <v>111</v>
      </c>
      <c r="AA12" s="773">
        <f>D12/F12</f>
        <v>1</v>
      </c>
      <c r="AB12" s="773">
        <f>D12/H12</f>
        <v>1</v>
      </c>
      <c r="AC12" s="773">
        <f>D12/J12</f>
        <v>1</v>
      </c>
    </row>
    <row r="13" spans="1:29" ht="16">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489"/>
      <c r="Q13" s="1794">
        <f t="shared" si="6"/>
        <v>111</v>
      </c>
      <c r="R13" s="770" t="s">
        <v>17</v>
      </c>
      <c r="S13" s="771">
        <f t="shared" si="0"/>
        <v>100</v>
      </c>
      <c r="T13" s="770" t="s">
        <v>17</v>
      </c>
      <c r="U13" s="771">
        <f t="shared" si="1"/>
        <v>100</v>
      </c>
      <c r="V13" s="770" t="s">
        <v>17</v>
      </c>
      <c r="W13" s="771">
        <f t="shared" si="2"/>
        <v>100</v>
      </c>
      <c r="X13" s="772"/>
      <c r="Y13" s="3219"/>
      <c r="Z13" s="55">
        <f t="shared" si="7"/>
        <v>111</v>
      </c>
      <c r="AA13" s="773">
        <f t="shared" si="3"/>
        <v>1</v>
      </c>
      <c r="AB13" s="773">
        <f t="shared" si="4"/>
        <v>1</v>
      </c>
      <c r="AC13" s="773">
        <f t="shared" si="5"/>
        <v>1</v>
      </c>
    </row>
    <row r="14" spans="1:29" ht="17"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489"/>
      <c r="Q14" s="1794">
        <f t="shared" si="6"/>
        <v>111</v>
      </c>
      <c r="R14" s="770" t="s">
        <v>17</v>
      </c>
      <c r="S14" s="771">
        <f t="shared" si="0"/>
        <v>100</v>
      </c>
      <c r="T14" s="770" t="s">
        <v>17</v>
      </c>
      <c r="U14" s="771">
        <f t="shared" si="1"/>
        <v>100</v>
      </c>
      <c r="V14" s="770" t="s">
        <v>17</v>
      </c>
      <c r="W14" s="771">
        <f t="shared" si="2"/>
        <v>100</v>
      </c>
      <c r="X14" s="772"/>
      <c r="Y14" s="3219"/>
      <c r="Z14" s="55">
        <f t="shared" si="7"/>
        <v>111</v>
      </c>
      <c r="AA14" s="773">
        <f t="shared" si="3"/>
        <v>1</v>
      </c>
      <c r="AB14" s="773">
        <f t="shared" si="4"/>
        <v>1</v>
      </c>
      <c r="AC14" s="773">
        <f t="shared" si="5"/>
        <v>1</v>
      </c>
    </row>
    <row r="15" spans="1:29" ht="60">
      <c r="A15" s="440" t="s">
        <v>2553</v>
      </c>
      <c r="B15" s="69" t="s">
        <v>2697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504" t="s">
        <v>2554</v>
      </c>
      <c r="Q15" s="1809" t="str">
        <f t="shared" si="6"/>
        <v>产业集聚程度</v>
      </c>
      <c r="R15" s="774" t="s">
        <v>17</v>
      </c>
      <c r="S15" s="775">
        <f t="shared" si="0"/>
        <v>100</v>
      </c>
      <c r="T15" s="774" t="s">
        <v>17</v>
      </c>
      <c r="U15" s="775">
        <f t="shared" si="1"/>
        <v>100</v>
      </c>
      <c r="V15" s="774" t="s">
        <v>17</v>
      </c>
      <c r="W15" s="775">
        <f t="shared" si="2"/>
        <v>100</v>
      </c>
      <c r="X15" s="1812"/>
      <c r="Y15" s="3504" t="s">
        <v>2554</v>
      </c>
      <c r="Z15" s="1813" t="str">
        <f t="shared" si="7"/>
        <v>产业集聚程度</v>
      </c>
      <c r="AA15" s="1810">
        <f t="shared" si="3"/>
        <v>1</v>
      </c>
      <c r="AB15" s="1810">
        <f t="shared" si="4"/>
        <v>1</v>
      </c>
      <c r="AC15" s="1810">
        <f t="shared" si="5"/>
        <v>1</v>
      </c>
    </row>
    <row r="16" spans="1:29" ht="16">
      <c r="A16" s="428"/>
      <c r="B16" s="446"/>
      <c r="C16" s="447"/>
      <c r="D16" s="448"/>
      <c r="E16" s="447"/>
      <c r="F16" s="449"/>
      <c r="G16" s="447"/>
      <c r="H16" s="450"/>
      <c r="I16" s="447"/>
      <c r="J16" s="448"/>
      <c r="K16" s="615"/>
      <c r="L16" s="1140"/>
      <c r="M16" s="1131"/>
      <c r="N16" s="1131"/>
      <c r="O16" s="1139"/>
      <c r="P16" s="3505"/>
      <c r="Q16" s="1809"/>
      <c r="R16" s="774"/>
      <c r="S16" s="775"/>
      <c r="T16" s="774"/>
      <c r="U16" s="775"/>
      <c r="V16" s="774"/>
      <c r="W16" s="775"/>
      <c r="X16" s="1812"/>
      <c r="Y16" s="3505"/>
      <c r="Z16" s="1813"/>
      <c r="AA16" s="1810">
        <v>1</v>
      </c>
      <c r="AB16" s="1810">
        <v>1</v>
      </c>
      <c r="AC16" s="1810">
        <v>1</v>
      </c>
    </row>
    <row r="17" spans="1:29" ht="90">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505"/>
      <c r="Q17" s="1809" t="str">
        <f>B17</f>
        <v>交通便捷度</v>
      </c>
      <c r="R17" s="774" t="s">
        <v>17</v>
      </c>
      <c r="S17" s="775">
        <f>F17</f>
        <v>100</v>
      </c>
      <c r="T17" s="774" t="s">
        <v>17</v>
      </c>
      <c r="U17" s="775">
        <f>H17</f>
        <v>100</v>
      </c>
      <c r="V17" s="774" t="s">
        <v>17</v>
      </c>
      <c r="W17" s="775">
        <f>J17</f>
        <v>100</v>
      </c>
      <c r="X17" s="1812"/>
      <c r="Y17" s="3505"/>
      <c r="Z17" s="1813" t="str">
        <f>Q17</f>
        <v>交通便捷度</v>
      </c>
      <c r="AA17" s="1810">
        <f t="shared" si="3"/>
        <v>1</v>
      </c>
      <c r="AB17" s="1810">
        <f t="shared" si="4"/>
        <v>1</v>
      </c>
      <c r="AC17" s="1810">
        <f t="shared" si="5"/>
        <v>1</v>
      </c>
    </row>
    <row r="18" spans="1:29" ht="16">
      <c r="A18" s="428"/>
      <c r="B18" s="456"/>
      <c r="C18" s="2608"/>
      <c r="D18" s="450"/>
      <c r="E18" s="2610"/>
      <c r="F18" s="453"/>
      <c r="G18" s="2609"/>
      <c r="H18" s="448"/>
      <c r="I18" s="2610"/>
      <c r="J18" s="448"/>
      <c r="K18" s="615"/>
      <c r="L18" s="1140"/>
      <c r="M18" s="1131"/>
      <c r="N18" s="1131"/>
      <c r="O18" s="1139"/>
      <c r="P18" s="3505"/>
      <c r="Q18" s="1809"/>
      <c r="R18" s="774"/>
      <c r="S18" s="775"/>
      <c r="T18" s="774"/>
      <c r="U18" s="775"/>
      <c r="V18" s="774"/>
      <c r="W18" s="775"/>
      <c r="X18" s="1812"/>
      <c r="Y18" s="3505"/>
      <c r="Z18" s="1813"/>
      <c r="AA18" s="1810">
        <v>1</v>
      </c>
      <c r="AB18" s="1810">
        <v>1</v>
      </c>
      <c r="AC18" s="1810">
        <v>1</v>
      </c>
    </row>
    <row r="19" spans="1:29" ht="45">
      <c r="A19" s="428"/>
      <c r="B19" s="451" t="s">
        <v>2682</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505"/>
      <c r="Q19" s="1809" t="str">
        <f>B19</f>
        <v>公共配套设施</v>
      </c>
      <c r="R19" s="774" t="s">
        <v>17</v>
      </c>
      <c r="S19" s="775">
        <f>F19</f>
        <v>100</v>
      </c>
      <c r="T19" s="774" t="s">
        <v>17</v>
      </c>
      <c r="U19" s="775">
        <f>H19</f>
        <v>100</v>
      </c>
      <c r="V19" s="774" t="s">
        <v>17</v>
      </c>
      <c r="W19" s="775">
        <f>J19</f>
        <v>100</v>
      </c>
      <c r="X19" s="1812"/>
      <c r="Y19" s="3505"/>
      <c r="Z19" s="1813" t="str">
        <f>Q19</f>
        <v>公共配套设施</v>
      </c>
      <c r="AA19" s="1810">
        <f t="shared" si="3"/>
        <v>1</v>
      </c>
      <c r="AB19" s="1810">
        <f t="shared" si="4"/>
        <v>1</v>
      </c>
      <c r="AC19" s="1810">
        <f t="shared" si="5"/>
        <v>1</v>
      </c>
    </row>
    <row r="20" spans="1:29" ht="16">
      <c r="A20" s="428"/>
      <c r="B20" s="456"/>
      <c r="C20" s="447"/>
      <c r="D20" s="448"/>
      <c r="E20" s="2605"/>
      <c r="F20" s="449"/>
      <c r="G20" s="2604"/>
      <c r="H20" s="448"/>
      <c r="I20" s="2605"/>
      <c r="J20" s="448"/>
      <c r="K20" s="615"/>
      <c r="L20" s="1140"/>
      <c r="M20" s="1131"/>
      <c r="N20" s="1131"/>
      <c r="O20" s="1139"/>
      <c r="P20" s="3505"/>
      <c r="Q20" s="1809"/>
      <c r="R20" s="774"/>
      <c r="S20" s="775"/>
      <c r="T20" s="774"/>
      <c r="U20" s="775"/>
      <c r="V20" s="774"/>
      <c r="W20" s="775"/>
      <c r="X20" s="1812"/>
      <c r="Y20" s="3505"/>
      <c r="Z20" s="1813"/>
      <c r="AA20" s="1810">
        <v>1</v>
      </c>
      <c r="AB20" s="1810">
        <v>1</v>
      </c>
      <c r="AC20" s="1810">
        <v>1</v>
      </c>
    </row>
    <row r="21" spans="1:29" ht="30">
      <c r="A21" s="428"/>
      <c r="B21" s="1384" t="s">
        <v>2683</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505"/>
      <c r="Q21" s="1809" t="str">
        <f>B21</f>
        <v>基础设施水平</v>
      </c>
      <c r="R21" s="774" t="s">
        <v>17</v>
      </c>
      <c r="S21" s="775">
        <f>F21</f>
        <v>100</v>
      </c>
      <c r="T21" s="774" t="s">
        <v>17</v>
      </c>
      <c r="U21" s="775">
        <f>H21</f>
        <v>100</v>
      </c>
      <c r="V21" s="774" t="s">
        <v>17</v>
      </c>
      <c r="W21" s="775">
        <f>J21</f>
        <v>100</v>
      </c>
      <c r="X21" s="1812"/>
      <c r="Y21" s="3505"/>
      <c r="Z21" s="1813" t="str">
        <f>Q21</f>
        <v>基础设施水平</v>
      </c>
      <c r="AA21" s="1810">
        <f t="shared" ref="AA21" si="8">D21/F21</f>
        <v>1</v>
      </c>
      <c r="AB21" s="1810">
        <f t="shared" ref="AB21" si="9">D21/H21</f>
        <v>1</v>
      </c>
      <c r="AC21" s="1810">
        <f t="shared" ref="AC21" si="10">D21/J21</f>
        <v>1</v>
      </c>
    </row>
    <row r="22" spans="1:29" ht="16">
      <c r="A22" s="428"/>
      <c r="B22" s="1384"/>
      <c r="C22" s="2608"/>
      <c r="D22" s="448"/>
      <c r="E22" s="447"/>
      <c r="F22" s="449"/>
      <c r="G22" s="447"/>
      <c r="H22" s="448"/>
      <c r="I22" s="447"/>
      <c r="J22" s="448"/>
      <c r="K22" s="1383"/>
      <c r="L22" s="1140"/>
      <c r="M22" s="1131"/>
      <c r="N22" s="1131"/>
      <c r="O22" s="1139"/>
      <c r="P22" s="3505"/>
      <c r="Q22" s="1809"/>
      <c r="R22" s="774"/>
      <c r="S22" s="775"/>
      <c r="T22" s="774"/>
      <c r="U22" s="775"/>
      <c r="V22" s="774"/>
      <c r="W22" s="775"/>
      <c r="X22" s="1812"/>
      <c r="Y22" s="3505"/>
      <c r="Z22" s="1813"/>
      <c r="AA22" s="1810">
        <v>1</v>
      </c>
      <c r="AB22" s="1810">
        <v>1</v>
      </c>
      <c r="AC22" s="1810">
        <v>1</v>
      </c>
    </row>
    <row r="23" spans="1:29" ht="75">
      <c r="A23" s="428"/>
      <c r="B23" s="451" t="s">
        <v>2684</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505"/>
      <c r="Q23" s="1809" t="str">
        <f>B23</f>
        <v>环境质量</v>
      </c>
      <c r="R23" s="774" t="s">
        <v>17</v>
      </c>
      <c r="S23" s="775">
        <f>F23</f>
        <v>100</v>
      </c>
      <c r="T23" s="774" t="s">
        <v>17</v>
      </c>
      <c r="U23" s="775">
        <f>H23</f>
        <v>100</v>
      </c>
      <c r="V23" s="774" t="s">
        <v>17</v>
      </c>
      <c r="W23" s="775">
        <f>J23</f>
        <v>100</v>
      </c>
      <c r="X23" s="1812"/>
      <c r="Y23" s="3505"/>
      <c r="Z23" s="1813" t="str">
        <f>Q23</f>
        <v>环境质量</v>
      </c>
      <c r="AA23" s="1810">
        <f t="shared" si="3"/>
        <v>1</v>
      </c>
      <c r="AB23" s="1810">
        <f t="shared" si="4"/>
        <v>1</v>
      </c>
      <c r="AC23" s="1810">
        <f t="shared" si="5"/>
        <v>1</v>
      </c>
    </row>
    <row r="24" spans="1:29" ht="16">
      <c r="A24" s="428"/>
      <c r="B24" s="1384"/>
      <c r="C24" s="447"/>
      <c r="D24" s="448"/>
      <c r="E24" s="2605"/>
      <c r="F24" s="449"/>
      <c r="G24" s="2604"/>
      <c r="H24" s="448"/>
      <c r="I24" s="2605"/>
      <c r="J24" s="448"/>
      <c r="K24" s="615"/>
      <c r="L24" s="1140"/>
      <c r="M24" s="1131"/>
      <c r="N24" s="1131"/>
      <c r="O24" s="1139"/>
      <c r="P24" s="3505"/>
      <c r="Q24" s="1809"/>
      <c r="R24" s="774"/>
      <c r="S24" s="775"/>
      <c r="T24" s="774"/>
      <c r="U24" s="775"/>
      <c r="V24" s="774"/>
      <c r="W24" s="775"/>
      <c r="X24" s="1812"/>
      <c r="Y24" s="3505"/>
      <c r="Z24" s="1813"/>
      <c r="AA24" s="1810">
        <v>1</v>
      </c>
      <c r="AB24" s="1810">
        <v>1</v>
      </c>
      <c r="AC24" s="1810">
        <v>1</v>
      </c>
    </row>
    <row r="25" spans="1:29" ht="16">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505"/>
      <c r="Q25" s="1809">
        <f>B25</f>
        <v>111</v>
      </c>
      <c r="R25" s="774" t="s">
        <v>17</v>
      </c>
      <c r="S25" s="775">
        <f>F25</f>
        <v>100</v>
      </c>
      <c r="T25" s="774" t="s">
        <v>17</v>
      </c>
      <c r="U25" s="775">
        <f>H25</f>
        <v>100</v>
      </c>
      <c r="V25" s="774" t="s">
        <v>17</v>
      </c>
      <c r="W25" s="775">
        <f>J25</f>
        <v>100</v>
      </c>
      <c r="X25" s="1812"/>
      <c r="Y25" s="3505"/>
      <c r="Z25" s="1813">
        <f>Q25</f>
        <v>111</v>
      </c>
      <c r="AA25" s="1810">
        <f t="shared" si="3"/>
        <v>1</v>
      </c>
      <c r="AB25" s="1810">
        <f t="shared" si="4"/>
        <v>1</v>
      </c>
      <c r="AC25" s="1810">
        <f t="shared" si="5"/>
        <v>1</v>
      </c>
    </row>
    <row r="26" spans="1:29" ht="16">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505"/>
      <c r="Q26" s="1809">
        <f t="shared" ref="Q26:Q40" si="11">B26</f>
        <v>111</v>
      </c>
      <c r="R26" s="774" t="s">
        <v>17</v>
      </c>
      <c r="S26" s="775">
        <f>F26</f>
        <v>100</v>
      </c>
      <c r="T26" s="774" t="s">
        <v>17</v>
      </c>
      <c r="U26" s="775">
        <f>H26</f>
        <v>100</v>
      </c>
      <c r="V26" s="774" t="s">
        <v>17</v>
      </c>
      <c r="W26" s="775">
        <f>J26</f>
        <v>100</v>
      </c>
      <c r="X26" s="1812"/>
      <c r="Y26" s="3505"/>
      <c r="Z26" s="1813">
        <f>Q26</f>
        <v>111</v>
      </c>
      <c r="AA26" s="1810">
        <f t="shared" si="3"/>
        <v>1</v>
      </c>
      <c r="AB26" s="1810">
        <f t="shared" si="4"/>
        <v>1</v>
      </c>
      <c r="AC26" s="1810">
        <f t="shared" si="5"/>
        <v>1</v>
      </c>
    </row>
    <row r="27" spans="1:29" s="117" customFormat="1" ht="16">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505"/>
      <c r="Q27" s="1794">
        <f t="shared" si="11"/>
        <v>111</v>
      </c>
      <c r="R27" s="770" t="s">
        <v>17</v>
      </c>
      <c r="S27" s="771">
        <f>F27</f>
        <v>100</v>
      </c>
      <c r="T27" s="770" t="s">
        <v>17</v>
      </c>
      <c r="U27" s="771">
        <f>H27</f>
        <v>100</v>
      </c>
      <c r="V27" s="770" t="s">
        <v>17</v>
      </c>
      <c r="W27" s="771">
        <f>J27</f>
        <v>100</v>
      </c>
      <c r="X27" s="772"/>
      <c r="Y27" s="3505"/>
      <c r="Z27" s="55">
        <f>Q27</f>
        <v>111</v>
      </c>
      <c r="AA27" s="1810">
        <f>D27/F27</f>
        <v>1</v>
      </c>
      <c r="AB27" s="1810">
        <f>D27/H27</f>
        <v>1</v>
      </c>
      <c r="AC27" s="1810">
        <f>D27/J27</f>
        <v>1</v>
      </c>
    </row>
    <row r="28" spans="1:29" ht="17"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505"/>
      <c r="Q28" s="1809">
        <f t="shared" si="11"/>
        <v>111</v>
      </c>
      <c r="R28" s="774" t="s">
        <v>17</v>
      </c>
      <c r="S28" s="775">
        <f t="shared" ref="S28:S40" si="12">F28</f>
        <v>100</v>
      </c>
      <c r="T28" s="774" t="s">
        <v>17</v>
      </c>
      <c r="U28" s="775">
        <f t="shared" ref="U28:U40" si="13">H28</f>
        <v>100</v>
      </c>
      <c r="V28" s="774" t="s">
        <v>17</v>
      </c>
      <c r="W28" s="775">
        <f t="shared" ref="W28:W40" si="14">J28</f>
        <v>100</v>
      </c>
      <c r="X28" s="1812"/>
      <c r="Y28" s="3505"/>
      <c r="Z28" s="1813">
        <f t="shared" ref="Z28:Z40" si="15">Q28</f>
        <v>111</v>
      </c>
      <c r="AA28" s="1810">
        <f t="shared" si="3"/>
        <v>1</v>
      </c>
      <c r="AB28" s="1810">
        <f t="shared" si="4"/>
        <v>1</v>
      </c>
      <c r="AC28" s="1810">
        <f t="shared" si="5"/>
        <v>1</v>
      </c>
    </row>
    <row r="29" spans="1:29" ht="20">
      <c r="A29" s="466" t="s">
        <v>2557</v>
      </c>
      <c r="B29" s="71" t="s">
        <v>2687</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506" t="s">
        <v>2559</v>
      </c>
      <c r="Q29" s="1809" t="str">
        <f t="shared" si="11"/>
        <v>建筑类型</v>
      </c>
      <c r="R29" s="774" t="s">
        <v>17</v>
      </c>
      <c r="S29" s="775">
        <f t="shared" si="12"/>
        <v>100</v>
      </c>
      <c r="T29" s="774" t="s">
        <v>17</v>
      </c>
      <c r="U29" s="775">
        <f t="shared" si="13"/>
        <v>100</v>
      </c>
      <c r="V29" s="774" t="s">
        <v>17</v>
      </c>
      <c r="W29" s="775">
        <f t="shared" si="14"/>
        <v>100</v>
      </c>
      <c r="X29" s="1812"/>
      <c r="Y29" s="3507" t="s">
        <v>2559</v>
      </c>
      <c r="Z29" s="1813" t="str">
        <f t="shared" si="15"/>
        <v>建筑类型</v>
      </c>
      <c r="AA29" s="1810">
        <f t="shared" si="3"/>
        <v>1</v>
      </c>
      <c r="AB29" s="1810">
        <f t="shared" si="4"/>
        <v>1</v>
      </c>
      <c r="AC29" s="1810">
        <f t="shared" si="5"/>
        <v>1</v>
      </c>
    </row>
    <row r="30" spans="1:29" s="471" customFormat="1" ht="16">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507"/>
      <c r="Q30" s="776" t="str">
        <f t="shared" si="11"/>
        <v>项目建筑规模</v>
      </c>
      <c r="R30" s="777" t="s">
        <v>17</v>
      </c>
      <c r="S30" s="778" t="e">
        <f t="shared" si="12"/>
        <v>#N/A</v>
      </c>
      <c r="T30" s="777" t="s">
        <v>17</v>
      </c>
      <c r="U30" s="778" t="e">
        <f t="shared" si="13"/>
        <v>#N/A</v>
      </c>
      <c r="V30" s="777" t="s">
        <v>17</v>
      </c>
      <c r="W30" s="778" t="e">
        <f t="shared" si="14"/>
        <v>#N/A</v>
      </c>
      <c r="X30" s="779"/>
      <c r="Y30" s="3507"/>
      <c r="Z30" s="780" t="str">
        <f t="shared" si="15"/>
        <v>项目建筑规模</v>
      </c>
      <c r="AA30" s="1810" t="e">
        <f t="shared" si="3"/>
        <v>#N/A</v>
      </c>
      <c r="AB30" s="1810" t="e">
        <f t="shared" si="4"/>
        <v>#N/A</v>
      </c>
      <c r="AC30" s="1810" t="e">
        <f t="shared" si="5"/>
        <v>#N/A</v>
      </c>
    </row>
    <row r="31" spans="1:29" ht="16">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507"/>
      <c r="Q31" s="1809" t="str">
        <f t="shared" si="11"/>
        <v>建筑结构</v>
      </c>
      <c r="R31" s="774" t="s">
        <v>17</v>
      </c>
      <c r="S31" s="775">
        <f t="shared" si="12"/>
        <v>100</v>
      </c>
      <c r="T31" s="774" t="s">
        <v>17</v>
      </c>
      <c r="U31" s="775">
        <f t="shared" si="13"/>
        <v>100</v>
      </c>
      <c r="V31" s="774" t="s">
        <v>17</v>
      </c>
      <c r="W31" s="775">
        <f t="shared" si="14"/>
        <v>100</v>
      </c>
      <c r="X31" s="1812"/>
      <c r="Y31" s="3507"/>
      <c r="Z31" s="1813" t="str">
        <f t="shared" si="15"/>
        <v>建筑结构</v>
      </c>
      <c r="AA31" s="1810">
        <f t="shared" si="3"/>
        <v>1</v>
      </c>
      <c r="AB31" s="1810">
        <f t="shared" si="4"/>
        <v>1</v>
      </c>
      <c r="AC31" s="1810">
        <f t="shared" si="5"/>
        <v>1</v>
      </c>
    </row>
    <row r="32" spans="1:29" ht="16">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507"/>
      <c r="Q32" s="1809" t="str">
        <f t="shared" si="11"/>
        <v>公共部分装修</v>
      </c>
      <c r="R32" s="774" t="s">
        <v>17</v>
      </c>
      <c r="S32" s="775">
        <f t="shared" si="12"/>
        <v>100</v>
      </c>
      <c r="T32" s="774" t="s">
        <v>17</v>
      </c>
      <c r="U32" s="775">
        <f t="shared" si="13"/>
        <v>100</v>
      </c>
      <c r="V32" s="774" t="s">
        <v>17</v>
      </c>
      <c r="W32" s="775">
        <f t="shared" si="14"/>
        <v>100</v>
      </c>
      <c r="X32" s="1812"/>
      <c r="Y32" s="3507"/>
      <c r="Z32" s="1813" t="str">
        <f t="shared" si="15"/>
        <v>公共部分装修</v>
      </c>
      <c r="AA32" s="1810">
        <f t="shared" si="3"/>
        <v>1</v>
      </c>
      <c r="AB32" s="1810">
        <f t="shared" si="4"/>
        <v>1</v>
      </c>
      <c r="AC32" s="1810">
        <f t="shared" si="5"/>
        <v>1</v>
      </c>
    </row>
    <row r="33" spans="1:29" ht="16">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507"/>
      <c r="Q33" s="1809" t="str">
        <f t="shared" si="11"/>
        <v>成新度</v>
      </c>
      <c r="R33" s="774" t="s">
        <v>17</v>
      </c>
      <c r="S33" s="775" t="e">
        <f t="shared" si="12"/>
        <v>#N/A</v>
      </c>
      <c r="T33" s="774" t="s">
        <v>17</v>
      </c>
      <c r="U33" s="775" t="e">
        <f t="shared" si="13"/>
        <v>#N/A</v>
      </c>
      <c r="V33" s="774" t="s">
        <v>17</v>
      </c>
      <c r="W33" s="775" t="e">
        <f t="shared" si="14"/>
        <v>#N/A</v>
      </c>
      <c r="X33" s="1812"/>
      <c r="Y33" s="3507"/>
      <c r="Z33" s="1813" t="str">
        <f t="shared" si="15"/>
        <v>成新度</v>
      </c>
      <c r="AA33" s="1810" t="e">
        <f t="shared" si="3"/>
        <v>#N/A</v>
      </c>
      <c r="AB33" s="1810" t="e">
        <f t="shared" si="4"/>
        <v>#N/A</v>
      </c>
      <c r="AC33" s="1810" t="e">
        <f t="shared" si="5"/>
        <v>#N/A</v>
      </c>
    </row>
    <row r="34" spans="1:29" s="117" customFormat="1" ht="16">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507"/>
      <c r="Q34" s="1794" t="str">
        <f t="shared" si="11"/>
        <v>物业管理</v>
      </c>
      <c r="R34" s="770" t="s">
        <v>17</v>
      </c>
      <c r="S34" s="771">
        <f t="shared" si="12"/>
        <v>100</v>
      </c>
      <c r="T34" s="770" t="s">
        <v>17</v>
      </c>
      <c r="U34" s="771">
        <f t="shared" si="13"/>
        <v>100</v>
      </c>
      <c r="V34" s="770" t="s">
        <v>17</v>
      </c>
      <c r="W34" s="771">
        <f t="shared" si="14"/>
        <v>100</v>
      </c>
      <c r="X34" s="772"/>
      <c r="Y34" s="3507"/>
      <c r="Z34" s="55" t="str">
        <f t="shared" si="15"/>
        <v>物业管理</v>
      </c>
      <c r="AA34" s="773">
        <f t="shared" si="3"/>
        <v>1</v>
      </c>
      <c r="AB34" s="773">
        <f t="shared" si="4"/>
        <v>1</v>
      </c>
      <c r="AC34" s="773">
        <f t="shared" si="5"/>
        <v>1</v>
      </c>
    </row>
    <row r="35" spans="1:29" ht="16">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507" t="s">
        <v>2559</v>
      </c>
      <c r="Q35" s="1809" t="str">
        <f t="shared" si="11"/>
        <v>市政基础设施</v>
      </c>
      <c r="R35" s="774" t="s">
        <v>17</v>
      </c>
      <c r="S35" s="775">
        <f t="shared" si="12"/>
        <v>100</v>
      </c>
      <c r="T35" s="774" t="s">
        <v>17</v>
      </c>
      <c r="U35" s="775">
        <f t="shared" si="13"/>
        <v>100</v>
      </c>
      <c r="V35" s="774" t="s">
        <v>17</v>
      </c>
      <c r="W35" s="775">
        <f t="shared" si="14"/>
        <v>100</v>
      </c>
      <c r="X35" s="1812"/>
      <c r="Y35" s="3507" t="s">
        <v>2559</v>
      </c>
      <c r="Z35" s="1813" t="str">
        <f t="shared" si="15"/>
        <v>市政基础设施</v>
      </c>
      <c r="AA35" s="1810">
        <f t="shared" si="3"/>
        <v>1</v>
      </c>
      <c r="AB35" s="1810">
        <f t="shared" si="4"/>
        <v>1</v>
      </c>
      <c r="AC35" s="1810">
        <f t="shared" si="5"/>
        <v>1</v>
      </c>
    </row>
    <row r="36" spans="1:29" ht="16">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507"/>
      <c r="Q36" s="1809" t="str">
        <f t="shared" si="11"/>
        <v>内部装修</v>
      </c>
      <c r="R36" s="774" t="s">
        <v>17</v>
      </c>
      <c r="S36" s="775">
        <f t="shared" si="12"/>
        <v>100</v>
      </c>
      <c r="T36" s="774" t="s">
        <v>17</v>
      </c>
      <c r="U36" s="775">
        <f t="shared" si="13"/>
        <v>100</v>
      </c>
      <c r="V36" s="774" t="s">
        <v>17</v>
      </c>
      <c r="W36" s="775">
        <f t="shared" si="14"/>
        <v>100</v>
      </c>
      <c r="X36" s="1812"/>
      <c r="Y36" s="3507"/>
      <c r="Z36" s="1813" t="str">
        <f t="shared" si="15"/>
        <v>内部装修</v>
      </c>
      <c r="AA36" s="1810">
        <f t="shared" si="3"/>
        <v>1</v>
      </c>
      <c r="AB36" s="1810">
        <f t="shared" si="4"/>
        <v>1</v>
      </c>
      <c r="AC36" s="1810">
        <f t="shared" si="5"/>
        <v>1</v>
      </c>
    </row>
    <row r="37" spans="1:29" ht="16">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507"/>
      <c r="Q37" s="1809" t="str">
        <f t="shared" si="11"/>
        <v>内部装修状况</v>
      </c>
      <c r="R37" s="774" t="s">
        <v>17</v>
      </c>
      <c r="S37" s="775">
        <f t="shared" si="12"/>
        <v>100</v>
      </c>
      <c r="T37" s="774" t="s">
        <v>17</v>
      </c>
      <c r="U37" s="775">
        <f t="shared" si="13"/>
        <v>100</v>
      </c>
      <c r="V37" s="774" t="s">
        <v>17</v>
      </c>
      <c r="W37" s="775">
        <f t="shared" si="14"/>
        <v>100</v>
      </c>
      <c r="X37" s="1812"/>
      <c r="Y37" s="3507"/>
      <c r="Z37" s="1813" t="str">
        <f t="shared" si="15"/>
        <v>内部装修状况</v>
      </c>
      <c r="AA37" s="1810">
        <f t="shared" si="3"/>
        <v>1</v>
      </c>
      <c r="AB37" s="1810">
        <f t="shared" si="4"/>
        <v>1</v>
      </c>
      <c r="AC37" s="1810">
        <f t="shared" si="5"/>
        <v>1</v>
      </c>
    </row>
    <row r="38" spans="1:29" s="471" customFormat="1" ht="16">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507"/>
      <c r="Q38" s="776">
        <f t="shared" si="11"/>
        <v>111</v>
      </c>
      <c r="R38" s="777" t="s">
        <v>17</v>
      </c>
      <c r="S38" s="778">
        <f t="shared" si="12"/>
        <v>100</v>
      </c>
      <c r="T38" s="777" t="s">
        <v>17</v>
      </c>
      <c r="U38" s="778">
        <f t="shared" si="13"/>
        <v>100</v>
      </c>
      <c r="V38" s="777" t="s">
        <v>17</v>
      </c>
      <c r="W38" s="778">
        <f t="shared" si="14"/>
        <v>100</v>
      </c>
      <c r="X38" s="779"/>
      <c r="Y38" s="3507"/>
      <c r="Z38" s="780">
        <f t="shared" si="15"/>
        <v>111</v>
      </c>
      <c r="AA38" s="1810">
        <f t="shared" si="3"/>
        <v>1</v>
      </c>
      <c r="AB38" s="1810">
        <f t="shared" si="4"/>
        <v>1</v>
      </c>
      <c r="AC38" s="1810">
        <f t="shared" si="5"/>
        <v>1</v>
      </c>
    </row>
    <row r="39" spans="1:29" ht="16">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507"/>
      <c r="Q39" s="1809">
        <f t="shared" si="11"/>
        <v>111</v>
      </c>
      <c r="R39" s="774" t="s">
        <v>17</v>
      </c>
      <c r="S39" s="775">
        <f t="shared" si="12"/>
        <v>100</v>
      </c>
      <c r="T39" s="774" t="s">
        <v>17</v>
      </c>
      <c r="U39" s="775">
        <f t="shared" si="13"/>
        <v>100</v>
      </c>
      <c r="V39" s="774" t="s">
        <v>17</v>
      </c>
      <c r="W39" s="775">
        <f t="shared" si="14"/>
        <v>100</v>
      </c>
      <c r="X39" s="1812"/>
      <c r="Y39" s="3507"/>
      <c r="Z39" s="1813">
        <f t="shared" si="15"/>
        <v>111</v>
      </c>
      <c r="AA39" s="1810">
        <f t="shared" si="3"/>
        <v>1</v>
      </c>
      <c r="AB39" s="1810">
        <f t="shared" si="4"/>
        <v>1</v>
      </c>
      <c r="AC39" s="1810">
        <f t="shared" si="5"/>
        <v>1</v>
      </c>
    </row>
    <row r="40" spans="1:29" ht="17"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547"/>
      <c r="Q40" s="1809">
        <f t="shared" si="11"/>
        <v>111</v>
      </c>
      <c r="R40" s="774" t="s">
        <v>17</v>
      </c>
      <c r="S40" s="775">
        <f t="shared" si="12"/>
        <v>100</v>
      </c>
      <c r="T40" s="774" t="s">
        <v>17</v>
      </c>
      <c r="U40" s="775">
        <f t="shared" si="13"/>
        <v>100</v>
      </c>
      <c r="V40" s="774" t="s">
        <v>17</v>
      </c>
      <c r="W40" s="775">
        <f t="shared" si="14"/>
        <v>100</v>
      </c>
      <c r="X40" s="1812"/>
      <c r="Y40" s="3547"/>
      <c r="Z40" s="1813">
        <f t="shared" si="15"/>
        <v>111</v>
      </c>
      <c r="AA40" s="1810">
        <f t="shared" si="3"/>
        <v>1</v>
      </c>
      <c r="AB40" s="1810">
        <f t="shared" si="4"/>
        <v>1</v>
      </c>
      <c r="AC40" s="1810">
        <f t="shared" si="5"/>
        <v>1</v>
      </c>
    </row>
    <row r="41" spans="1:29" ht="15">
      <c r="A41" s="479" t="s">
        <v>2571</v>
      </c>
      <c r="B41" s="480"/>
      <c r="C41" s="1407" t="s">
        <v>1</v>
      </c>
      <c r="D41" s="1408"/>
      <c r="E41" s="1409"/>
      <c r="F41" s="1410"/>
      <c r="G41" s="1411"/>
      <c r="H41" s="1412"/>
      <c r="I41" s="1409"/>
      <c r="J41" s="1412"/>
      <c r="K41" s="783"/>
      <c r="L41" s="1143"/>
      <c r="M41" s="1144"/>
      <c r="N41" s="1131"/>
      <c r="O41" s="1144"/>
      <c r="P41" s="3489" t="str">
        <f>A41</f>
        <v>成交单价（元/平方米）</v>
      </c>
      <c r="Q41" s="3489"/>
      <c r="R41" s="3543">
        <f>E41</f>
        <v>0</v>
      </c>
      <c r="S41" s="3543"/>
      <c r="T41" s="3543">
        <f>G41</f>
        <v>0</v>
      </c>
      <c r="U41" s="3543"/>
      <c r="V41" s="3543">
        <f>I41</f>
        <v>0</v>
      </c>
      <c r="W41" s="3543"/>
      <c r="X41" s="759"/>
      <c r="Y41" s="781"/>
      <c r="Z41" s="759"/>
      <c r="AA41" s="759"/>
      <c r="AB41" s="759"/>
      <c r="AC41" s="759"/>
    </row>
    <row r="42" spans="1:29" ht="1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489" t="str">
        <f>A42</f>
        <v>比较价值（元/平方米）</v>
      </c>
      <c r="Q42" s="3489"/>
      <c r="R42" s="3543" t="e">
        <f>IF(F1="售价",ROUND(PRODUCT(R41,AA7:AA40),0),ROUND(PRODUCT(R41,AA7:AA40),1))</f>
        <v>#DIV/0!</v>
      </c>
      <c r="S42" s="3543"/>
      <c r="T42" s="3543" t="e">
        <f>IF(F1="售价",ROUND(PRODUCT(T41,AB7:AB40),0),ROUND(PRODUCT(T41,AB7:AB40),1))</f>
        <v>#DIV/0!</v>
      </c>
      <c r="U42" s="3543"/>
      <c r="V42" s="3543" t="e">
        <f>IF(F1="售价",ROUND(PRODUCT(V41,AC7:AC40),0),ROUND(PRODUCT(V41,AC7:AC40),1))</f>
        <v>#DIV/0!</v>
      </c>
      <c r="W42" s="3543"/>
      <c r="X42" s="759"/>
      <c r="Y42" s="759"/>
      <c r="Z42" s="759"/>
      <c r="AA42" s="759"/>
      <c r="AB42" s="759"/>
      <c r="AC42" s="759"/>
    </row>
    <row r="43" spans="1:29" ht="15" thickBot="1">
      <c r="A43" s="492" t="s">
        <v>2664</v>
      </c>
      <c r="B43" s="493"/>
      <c r="C43" s="1417" t="e">
        <f>R43</f>
        <v>#DIV/0!</v>
      </c>
      <c r="D43" s="1417"/>
      <c r="E43" s="1417"/>
      <c r="F43" s="1417"/>
      <c r="G43" s="1417"/>
      <c r="H43" s="1417"/>
      <c r="I43" s="1417"/>
      <c r="J43" s="1417"/>
      <c r="K43" s="785"/>
      <c r="L43" s="1143"/>
      <c r="M43" s="1144"/>
      <c r="N43" s="1144"/>
      <c r="O43" s="1144"/>
      <c r="P43" s="3509" t="str">
        <f>A43</f>
        <v>估价对象XX用房的比较价值（楼面单价，元/平方米）</v>
      </c>
      <c r="Q43" s="3510"/>
      <c r="R43" s="3542" t="e">
        <f>IF(F1="售价",ROUND(AVERAGE(R42:V42),0),ROUND(AVERAGE(R42:V42),1))</f>
        <v>#DIV/0!</v>
      </c>
      <c r="S43" s="3542"/>
      <c r="T43" s="3542"/>
      <c r="U43" s="3542"/>
      <c r="V43" s="3542"/>
      <c r="W43" s="354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 thickBot="1">
      <c r="A56" s="521"/>
      <c r="B56" s="510"/>
      <c r="C56" s="639">
        <v>100</v>
      </c>
      <c r="D56" s="512"/>
      <c r="E56" s="512"/>
      <c r="F56" s="512"/>
      <c r="G56" s="512"/>
      <c r="H56" s="512"/>
      <c r="I56" s="512"/>
      <c r="J56" s="512"/>
      <c r="K56" s="512"/>
      <c r="L56" s="512"/>
      <c r="M56" s="514"/>
      <c r="N56" s="1151"/>
      <c r="O56" s="1151"/>
      <c r="P56" s="504"/>
      <c r="Q56" s="504"/>
    </row>
    <row r="57" spans="1:17" ht="15">
      <c r="A57" s="527" t="s">
        <v>2582</v>
      </c>
      <c r="B57" s="528" t="s">
        <v>2548</v>
      </c>
      <c r="C57" s="529">
        <f>C9</f>
        <v>0</v>
      </c>
      <c r="D57" s="530"/>
      <c r="E57" s="530"/>
      <c r="F57" s="530"/>
      <c r="G57" s="530"/>
      <c r="H57" s="530"/>
      <c r="I57" s="530"/>
      <c r="J57" s="530"/>
      <c r="K57" s="531"/>
      <c r="L57" s="532"/>
      <c r="M57" s="533"/>
      <c r="N57" s="1152"/>
      <c r="O57" s="1152"/>
      <c r="P57" s="45"/>
      <c r="Q57" s="504"/>
    </row>
    <row r="58" spans="1:17" ht="15" thickBot="1">
      <c r="A58" s="534"/>
      <c r="B58" s="535"/>
      <c r="C58" s="536">
        <v>100</v>
      </c>
      <c r="D58" s="536"/>
      <c r="E58" s="536"/>
      <c r="F58" s="536"/>
      <c r="G58" s="536"/>
      <c r="H58" s="536"/>
      <c r="I58" s="536"/>
      <c r="J58" s="536"/>
      <c r="K58" s="536"/>
      <c r="L58" s="536"/>
      <c r="M58" s="537"/>
      <c r="N58" s="1153"/>
      <c r="O58" s="1153"/>
      <c r="P58" s="45"/>
      <c r="Q58" s="504"/>
    </row>
    <row r="59" spans="1:17" ht="31"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6"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6"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 thickTop="1">
      <c r="A64" s="553"/>
      <c r="B64" s="538">
        <f>B12</f>
        <v>111</v>
      </c>
      <c r="C64" s="554"/>
      <c r="D64" s="554"/>
      <c r="E64" s="554"/>
      <c r="F64" s="554"/>
      <c r="G64" s="554"/>
      <c r="H64" s="555"/>
      <c r="I64" s="555"/>
      <c r="J64" s="555"/>
      <c r="K64" s="555"/>
      <c r="L64" s="556"/>
      <c r="M64" s="557"/>
      <c r="N64" s="1154"/>
      <c r="O64" s="1154"/>
      <c r="P64" s="558"/>
      <c r="Q64" s="559"/>
    </row>
    <row r="65" spans="1:17" s="471" customFormat="1" ht="15" thickBot="1">
      <c r="A65" s="553"/>
      <c r="B65" s="543"/>
      <c r="C65" s="560"/>
      <c r="D65" s="536"/>
      <c r="E65" s="536"/>
      <c r="F65" s="536"/>
      <c r="G65" s="536"/>
      <c r="H65" s="536"/>
      <c r="I65" s="536"/>
      <c r="J65" s="536"/>
      <c r="K65" s="536"/>
      <c r="L65" s="536"/>
      <c r="M65" s="537"/>
      <c r="N65" s="1153"/>
      <c r="O65" s="1153"/>
      <c r="P65" s="558"/>
      <c r="Q65" s="559"/>
    </row>
    <row r="66" spans="1:17" s="471" customFormat="1" ht="15" thickTop="1">
      <c r="A66" s="553"/>
      <c r="B66" s="538">
        <f>B13</f>
        <v>111</v>
      </c>
      <c r="C66" s="554"/>
      <c r="D66" s="554"/>
      <c r="E66" s="554"/>
      <c r="F66" s="554"/>
      <c r="G66" s="554"/>
      <c r="H66" s="555"/>
      <c r="I66" s="555"/>
      <c r="J66" s="555"/>
      <c r="K66" s="555"/>
      <c r="L66" s="556"/>
      <c r="M66" s="557"/>
      <c r="N66" s="1154"/>
      <c r="O66" s="1154"/>
      <c r="P66" s="470"/>
      <c r="Q66" s="561"/>
    </row>
    <row r="67" spans="1:17" s="471" customFormat="1" ht="15" thickBot="1">
      <c r="A67" s="553"/>
      <c r="B67" s="543"/>
      <c r="C67" s="560"/>
      <c r="D67" s="536"/>
      <c r="E67" s="536"/>
      <c r="F67" s="536"/>
      <c r="G67" s="560"/>
      <c r="H67" s="562"/>
      <c r="I67" s="562"/>
      <c r="J67" s="562"/>
      <c r="K67" s="562"/>
      <c r="L67" s="562"/>
      <c r="M67" s="563"/>
      <c r="N67" s="1154"/>
      <c r="O67" s="1154"/>
      <c r="P67" s="558"/>
      <c r="Q67" s="559"/>
    </row>
    <row r="68" spans="1:17" s="471" customFormat="1" ht="15" thickTop="1">
      <c r="A68" s="553"/>
      <c r="B68" s="546">
        <f>B14</f>
        <v>111</v>
      </c>
      <c r="C68" s="523"/>
      <c r="D68" s="523"/>
      <c r="E68" s="523"/>
      <c r="F68" s="523"/>
      <c r="G68" s="523"/>
      <c r="H68" s="564"/>
      <c r="I68" s="564"/>
      <c r="J68" s="564"/>
      <c r="K68" s="564"/>
      <c r="L68" s="565"/>
      <c r="M68" s="566"/>
      <c r="N68" s="1154"/>
      <c r="O68" s="1154"/>
      <c r="P68" s="567"/>
      <c r="Q68" s="559"/>
    </row>
    <row r="69" spans="1:17" s="471" customFormat="1" ht="15" thickBot="1">
      <c r="A69" s="568"/>
      <c r="B69" s="569"/>
      <c r="C69" s="570"/>
      <c r="D69" s="570"/>
      <c r="E69" s="570"/>
      <c r="F69" s="570"/>
      <c r="G69" s="570"/>
      <c r="H69" s="571"/>
      <c r="I69" s="571"/>
      <c r="J69" s="571"/>
      <c r="K69" s="571"/>
      <c r="L69" s="571"/>
      <c r="M69" s="572"/>
      <c r="N69" s="1154"/>
      <c r="O69" s="1154"/>
      <c r="P69" s="558"/>
      <c r="Q69" s="559"/>
    </row>
    <row r="70" spans="1:17" ht="15">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6"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6"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6"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6"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 thickTop="1">
      <c r="A80" s="579"/>
      <c r="B80" s="538">
        <f>B25</f>
        <v>111</v>
      </c>
      <c r="C80" s="554"/>
      <c r="D80" s="554"/>
      <c r="E80" s="554"/>
      <c r="F80" s="554"/>
      <c r="G80" s="554"/>
      <c r="H80" s="554"/>
      <c r="I80" s="554"/>
      <c r="J80" s="554"/>
      <c r="K80" s="554"/>
      <c r="L80" s="580"/>
      <c r="M80" s="581"/>
      <c r="N80" s="1151"/>
      <c r="O80" s="1151"/>
      <c r="P80" s="45"/>
      <c r="Q80" s="504"/>
    </row>
    <row r="81" spans="1:17" s="117" customFormat="1" ht="15" thickBot="1">
      <c r="A81" s="579"/>
      <c r="B81" s="543"/>
      <c r="C81" s="560"/>
      <c r="D81" s="536"/>
      <c r="E81" s="536"/>
      <c r="F81" s="536"/>
      <c r="G81" s="536"/>
      <c r="H81" s="536"/>
      <c r="I81" s="536"/>
      <c r="J81" s="536"/>
      <c r="K81" s="536"/>
      <c r="L81" s="536"/>
      <c r="M81" s="537"/>
      <c r="N81" s="1153"/>
      <c r="O81" s="1153"/>
      <c r="P81" s="45"/>
      <c r="Q81" s="504"/>
    </row>
    <row r="82" spans="1:17" s="117" customFormat="1" ht="15" thickTop="1">
      <c r="A82" s="579"/>
      <c r="B82" s="538">
        <f>B26</f>
        <v>111</v>
      </c>
      <c r="C82" s="554"/>
      <c r="D82" s="554"/>
      <c r="E82" s="554"/>
      <c r="F82" s="554"/>
      <c r="G82" s="554"/>
      <c r="H82" s="554"/>
      <c r="I82" s="554"/>
      <c r="J82" s="554"/>
      <c r="K82" s="554"/>
      <c r="L82" s="580"/>
      <c r="M82" s="581"/>
      <c r="N82" s="1151"/>
      <c r="O82" s="1151"/>
      <c r="P82" s="45"/>
      <c r="Q82" s="504"/>
    </row>
    <row r="83" spans="1:17" s="117" customFormat="1" ht="15" thickBot="1">
      <c r="A83" s="579"/>
      <c r="B83" s="543"/>
      <c r="C83" s="560"/>
      <c r="D83" s="536"/>
      <c r="E83" s="536"/>
      <c r="F83" s="536"/>
      <c r="G83" s="536"/>
      <c r="H83" s="536"/>
      <c r="I83" s="536"/>
      <c r="J83" s="536"/>
      <c r="K83" s="536"/>
      <c r="L83" s="536"/>
      <c r="M83" s="537"/>
      <c r="N83" s="1153"/>
      <c r="O83" s="1153"/>
      <c r="P83" s="45"/>
      <c r="Q83" s="504"/>
    </row>
    <row r="84" spans="1:17" s="471" customFormat="1" ht="15" thickTop="1">
      <c r="A84" s="553"/>
      <c r="B84" s="538">
        <f>B27</f>
        <v>111</v>
      </c>
      <c r="C84" s="554"/>
      <c r="D84" s="554"/>
      <c r="E84" s="554"/>
      <c r="F84" s="554"/>
      <c r="G84" s="554"/>
      <c r="H84" s="554"/>
      <c r="I84" s="554"/>
      <c r="J84" s="554"/>
      <c r="K84" s="554"/>
      <c r="L84" s="580"/>
      <c r="M84" s="581"/>
      <c r="N84" s="1154"/>
      <c r="O84" s="1154"/>
      <c r="P84" s="558"/>
      <c r="Q84" s="559"/>
    </row>
    <row r="85" spans="1:17" s="471" customFormat="1" ht="15" thickBot="1">
      <c r="A85" s="553"/>
      <c r="B85" s="543"/>
      <c r="C85" s="560"/>
      <c r="D85" s="536"/>
      <c r="E85" s="536"/>
      <c r="F85" s="536"/>
      <c r="G85" s="536"/>
      <c r="H85" s="536"/>
      <c r="I85" s="536"/>
      <c r="J85" s="536"/>
      <c r="K85" s="536"/>
      <c r="L85" s="536"/>
      <c r="M85" s="537"/>
      <c r="N85" s="1154"/>
      <c r="O85" s="1154"/>
      <c r="P85" s="558"/>
      <c r="Q85" s="559"/>
    </row>
    <row r="86" spans="1:17" ht="15" thickTop="1">
      <c r="A86" s="534"/>
      <c r="B86" s="546">
        <f>B28</f>
        <v>111</v>
      </c>
      <c r="C86" s="523"/>
      <c r="D86" s="523"/>
      <c r="E86" s="523"/>
      <c r="F86" s="523"/>
      <c r="G86" s="587"/>
      <c r="H86" s="587"/>
      <c r="I86" s="587"/>
      <c r="J86" s="587"/>
      <c r="K86" s="588"/>
      <c r="L86" s="589"/>
      <c r="M86" s="590"/>
      <c r="N86" s="1152"/>
      <c r="O86" s="1152"/>
      <c r="P86" s="45"/>
      <c r="Q86" s="504"/>
    </row>
    <row r="87" spans="1:17" ht="15" thickBot="1">
      <c r="A87" s="2636"/>
      <c r="B87" s="569"/>
      <c r="C87" s="570"/>
      <c r="D87" s="570"/>
      <c r="E87" s="570"/>
      <c r="F87" s="570"/>
      <c r="G87" s="591"/>
      <c r="H87" s="591"/>
      <c r="I87" s="591"/>
      <c r="J87" s="591"/>
      <c r="K87" s="591"/>
      <c r="L87" s="591"/>
      <c r="M87" s="592"/>
      <c r="N87" s="1153"/>
      <c r="O87" s="1153"/>
      <c r="P87" s="45"/>
      <c r="Q87" s="504"/>
    </row>
    <row r="88" spans="1:17" ht="15">
      <c r="A88" s="527" t="s">
        <v>2557</v>
      </c>
      <c r="B88" s="528" t="s">
        <v>2606</v>
      </c>
      <c r="C88" s="530"/>
      <c r="D88" s="530"/>
      <c r="E88" s="530"/>
      <c r="F88" s="530"/>
      <c r="G88" s="530"/>
      <c r="H88" s="530"/>
      <c r="I88" s="530"/>
      <c r="J88" s="530"/>
      <c r="K88" s="531"/>
      <c r="L88" s="532"/>
      <c r="M88" s="533"/>
      <c r="N88" s="1152"/>
      <c r="O88" s="1152"/>
      <c r="P88" s="45"/>
      <c r="Q88" s="504"/>
    </row>
    <row r="89" spans="1:17" ht="1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6"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 thickBot="1">
      <c r="A92" s="553"/>
      <c r="B92" s="543"/>
      <c r="C92" s="560"/>
      <c r="D92" s="536"/>
      <c r="E92" s="536"/>
      <c r="F92" s="536"/>
      <c r="G92" s="536"/>
      <c r="H92" s="536"/>
      <c r="I92" s="536"/>
      <c r="J92" s="536"/>
      <c r="K92" s="536"/>
      <c r="L92" s="536"/>
      <c r="M92" s="537"/>
      <c r="N92" s="1153"/>
      <c r="O92" s="1153"/>
      <c r="P92" s="558"/>
      <c r="Q92" s="559"/>
    </row>
    <row r="93" spans="1:17" ht="16" thickTop="1">
      <c r="A93" s="599"/>
      <c r="B93" s="538" t="s">
        <v>2608</v>
      </c>
      <c r="C93" s="554"/>
      <c r="D93" s="554"/>
      <c r="E93" s="583"/>
      <c r="F93" s="583"/>
      <c r="G93" s="583"/>
      <c r="H93" s="583"/>
      <c r="I93" s="583"/>
      <c r="J93" s="583"/>
      <c r="K93" s="584"/>
      <c r="L93" s="585"/>
      <c r="M93" s="586"/>
      <c r="N93" s="1152"/>
      <c r="O93" s="1152"/>
      <c r="P93" s="45"/>
      <c r="Q93" s="504"/>
    </row>
    <row r="94" spans="1:17" ht="1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6" thickTop="1">
      <c r="A95" s="599"/>
      <c r="B95" s="538" t="s">
        <v>2610</v>
      </c>
      <c r="C95" s="554"/>
      <c r="D95" s="554"/>
      <c r="E95" s="554"/>
      <c r="F95" s="583"/>
      <c r="G95" s="583"/>
      <c r="H95" s="583"/>
      <c r="I95" s="583"/>
      <c r="J95" s="583"/>
      <c r="K95" s="584"/>
      <c r="L95" s="585"/>
      <c r="M95" s="586"/>
      <c r="N95" s="1152"/>
      <c r="O95" s="1152"/>
      <c r="P95" s="45"/>
      <c r="Q95" s="504"/>
    </row>
    <row r="96" spans="1:17" ht="1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6"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6"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6" thickTop="1">
      <c r="A102" s="599"/>
      <c r="B102" s="538" t="s">
        <v>2612</v>
      </c>
      <c r="C102" s="554"/>
      <c r="D102" s="554"/>
      <c r="E102" s="554"/>
      <c r="F102" s="554"/>
      <c r="G102" s="554"/>
      <c r="H102" s="583"/>
      <c r="I102" s="583"/>
      <c r="J102" s="583"/>
      <c r="K102" s="584"/>
      <c r="L102" s="585"/>
      <c r="M102" s="586"/>
      <c r="N102" s="1152"/>
      <c r="O102" s="1152"/>
      <c r="P102" s="45"/>
      <c r="Q102" s="504"/>
    </row>
    <row r="103" spans="1:17" ht="1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6" thickTop="1">
      <c r="A104" s="599"/>
      <c r="B104" s="538" t="s">
        <v>2614</v>
      </c>
      <c r="C104" s="554"/>
      <c r="D104" s="554"/>
      <c r="E104" s="554"/>
      <c r="F104" s="554"/>
      <c r="G104" s="554"/>
      <c r="H104" s="583"/>
      <c r="I104" s="583"/>
      <c r="J104" s="583"/>
      <c r="K104" s="584"/>
      <c r="L104" s="585"/>
      <c r="M104" s="586"/>
      <c r="N104" s="1152"/>
      <c r="O104" s="1152"/>
      <c r="P104" s="45"/>
      <c r="Q104" s="504"/>
    </row>
    <row r="105" spans="1:17" ht="1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6"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20 G20 E20 I20" xr:uid="{00000000-0002-0000-2900-000002000000}">
      <formula1>公共配套设施</formula1>
    </dataValidation>
    <dataValidation type="list" allowBlank="1" showInputMessage="1" showErrorMessage="1" sqref="E18 G18 I18 C18" xr:uid="{00000000-0002-0000-2900-000003000000}">
      <formula1>交通便捷度</formula1>
    </dataValidation>
    <dataValidation type="list" allowBlank="1" showInputMessage="1" showErrorMessage="1" sqref="E24 G24 I24 C24" xr:uid="{00000000-0002-0000-2900-000004000000}">
      <formula1>环境</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29 E29 G29 I29" xr:uid="{00000000-0002-0000-2900-000007000000}">
      <formula1>工业建筑类型</formula1>
    </dataValidation>
    <dataValidation type="list" allowBlank="1" showInputMessage="1" showErrorMessage="1" sqref="C31 E31 G31 I31" xr:uid="{00000000-0002-0000-2900-000008000000}">
      <formula1>工业建筑结构</formula1>
    </dataValidation>
    <dataValidation type="list" allowBlank="1" showInputMessage="1" showErrorMessage="1" sqref="C32 E32 G32 I32" xr:uid="{00000000-0002-0000-2900-000009000000}">
      <formula1>工业公共部分装修</formula1>
    </dataValidation>
    <dataValidation type="list" allowBlank="1" showInputMessage="1" showErrorMessage="1" sqref="C34 E34 G34 I34" xr:uid="{00000000-0002-0000-2900-00000A000000}">
      <formula1>工业物业管理</formula1>
    </dataValidation>
    <dataValidation type="list" allowBlank="1" showInputMessage="1" showErrorMessage="1" sqref="C35 E35 G35 I35" xr:uid="{00000000-0002-0000-2900-00000B000000}">
      <formula1>工业基础设施水平</formula1>
    </dataValidation>
    <dataValidation type="list" allowBlank="1" showInputMessage="1" showErrorMessage="1" sqref="C36 E36 G36 I36" xr:uid="{00000000-0002-0000-2900-00000C000000}">
      <formula1>工业内部装修</formula1>
    </dataValidation>
    <dataValidation type="list" allowBlank="1" showInputMessage="1" showErrorMessage="1" sqref="C37 E37 G37 I37" xr:uid="{00000000-0002-0000-2900-00000D000000}">
      <formula1>内部装修维护情况</formula1>
    </dataValidation>
    <dataValidation type="list" allowBlank="1" showInputMessage="1" showErrorMessage="1" sqref="C16 E16 G16 I16" xr:uid="{00000000-0002-0000-2900-00000E000000}">
      <formula1>产业集聚程度</formula1>
    </dataValidation>
    <dataValidation type="list" allowBlank="1" showInputMessage="1" showErrorMessage="1" sqref="C22 E22 G22 I22"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C2" xr:uid="{00000000-0002-0000-2900-000011000000}">
      <formula1>"需扣减承租人权益,——"</formula1>
    </dataValidation>
    <dataValidation type="list" allowBlank="1" showInputMessage="1" showErrorMessage="1" sqref="F2" xr:uid="{00000000-0002-0000-2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zoomScale="93" zoomScaleNormal="93" workbookViewId="0">
      <selection sqref="A1:XFD1048576"/>
    </sheetView>
  </sheetViews>
  <sheetFormatPr baseColWidth="10" defaultColWidth="9" defaultRowHeight="14"/>
  <cols>
    <col min="1" max="1" width="10.5" style="403" customWidth="1"/>
    <col min="2" max="2" width="15.832031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83203125" style="112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8" customFormat="1" ht="28.5" customHeight="1" thickBot="1">
      <c r="A1" s="1617" t="s">
        <v>2701</v>
      </c>
      <c r="B1" s="1618"/>
      <c r="C1" s="1619" t="s">
        <v>2524</v>
      </c>
      <c r="D1" s="1620"/>
      <c r="E1" s="1621"/>
      <c r="F1" s="2584"/>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8" t="e">
        <f ca="1">IF(C2="——",IF(B37="元/平方米",ROUND(C39*D3/10000,0),ROUND(F3*C39/10000,0)),IF(B37="元/平方米",ROUND(C39*D3/10000,0),ROUND(F3*C39/10000,0))-D2)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490" t="s">
        <v>2640</v>
      </c>
      <c r="D4" s="3491"/>
      <c r="E4" s="3492" t="s">
        <v>2641</v>
      </c>
      <c r="F4" s="3493"/>
      <c r="G4" s="3490" t="s">
        <v>2642</v>
      </c>
      <c r="H4" s="3491"/>
      <c r="I4" s="3490" t="s">
        <v>2643</v>
      </c>
      <c r="J4" s="3491"/>
      <c r="K4" s="610" t="s">
        <v>2644</v>
      </c>
      <c r="L4" s="1130"/>
      <c r="M4" s="1131"/>
      <c r="N4" s="1131"/>
      <c r="O4" s="1131"/>
      <c r="P4" s="3494" t="s">
        <v>2645</v>
      </c>
      <c r="Q4" s="3495"/>
      <c r="R4" s="3477" t="s">
        <v>2641</v>
      </c>
      <c r="S4" s="3478"/>
      <c r="T4" s="3477" t="s">
        <v>2642</v>
      </c>
      <c r="U4" s="3478"/>
      <c r="V4" s="3502" t="s">
        <v>2643</v>
      </c>
      <c r="W4" s="3502"/>
      <c r="X4" s="1812"/>
      <c r="Y4" s="3477" t="s">
        <v>2645</v>
      </c>
      <c r="Z4" s="3478"/>
      <c r="AA4" s="3472" t="s">
        <v>2641</v>
      </c>
      <c r="AB4" s="3473" t="s">
        <v>2642</v>
      </c>
      <c r="AC4" s="3472" t="s">
        <v>2643</v>
      </c>
    </row>
    <row r="5" spans="1:29">
      <c r="A5" s="404"/>
      <c r="B5" s="405"/>
      <c r="C5" s="3483" t="s">
        <v>2536</v>
      </c>
      <c r="D5" s="3484"/>
      <c r="E5" s="3481" t="s">
        <v>2537</v>
      </c>
      <c r="F5" s="3482"/>
      <c r="G5" s="3483" t="s">
        <v>2538</v>
      </c>
      <c r="H5" s="3484"/>
      <c r="I5" s="3483" t="s">
        <v>2539</v>
      </c>
      <c r="J5" s="3484"/>
      <c r="K5" s="610"/>
      <c r="L5" s="1130"/>
      <c r="M5" s="1131"/>
      <c r="N5" s="1131"/>
      <c r="O5" s="1131"/>
      <c r="P5" s="3496"/>
      <c r="Q5" s="3497"/>
      <c r="R5" s="3479"/>
      <c r="S5" s="3480"/>
      <c r="T5" s="3479"/>
      <c r="U5" s="3480"/>
      <c r="V5" s="3502"/>
      <c r="W5" s="3502"/>
      <c r="X5" s="1812"/>
      <c r="Y5" s="3479"/>
      <c r="Z5" s="3480"/>
      <c r="AA5" s="3473"/>
      <c r="AB5" s="3473"/>
      <c r="AC5" s="3473"/>
    </row>
    <row r="6" spans="1:29" ht="16" thickBot="1">
      <c r="A6" s="406"/>
      <c r="B6" s="407"/>
      <c r="C6" s="3485" t="s">
        <v>2540</v>
      </c>
      <c r="D6" s="3486"/>
      <c r="E6" s="3487" t="s">
        <v>2540</v>
      </c>
      <c r="F6" s="3488"/>
      <c r="G6" s="3485" t="s">
        <v>2540</v>
      </c>
      <c r="H6" s="3486"/>
      <c r="I6" s="3485" t="s">
        <v>2540</v>
      </c>
      <c r="J6" s="3486"/>
      <c r="K6" s="610" t="s">
        <v>2541</v>
      </c>
      <c r="L6" s="1130"/>
      <c r="M6" s="1131"/>
      <c r="N6" s="1131"/>
      <c r="O6" s="1131"/>
      <c r="P6" s="3498"/>
      <c r="Q6" s="3499"/>
      <c r="R6" s="3479"/>
      <c r="S6" s="3480"/>
      <c r="T6" s="3500"/>
      <c r="U6" s="3501"/>
      <c r="V6" s="3502"/>
      <c r="W6" s="3502"/>
      <c r="X6" s="1812"/>
      <c r="Y6" s="3500"/>
      <c r="Z6" s="3501"/>
      <c r="AA6" s="3474"/>
      <c r="AB6" s="3474"/>
      <c r="AC6" s="3474"/>
    </row>
    <row r="7" spans="1:29" s="117" customFormat="1" ht="16" thickBot="1">
      <c r="A7" s="408" t="s">
        <v>2542</v>
      </c>
      <c r="B7" s="409"/>
      <c r="C7" s="410">
        <f>'数据-取费表'!B2</f>
        <v>43905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475" t="s">
        <v>2543</v>
      </c>
      <c r="Q7" s="3503"/>
      <c r="R7" s="770" t="s">
        <v>17</v>
      </c>
      <c r="S7" s="771">
        <f t="shared" ref="S7:S14" si="0">F7</f>
        <v>0</v>
      </c>
      <c r="T7" s="770" t="s">
        <v>17</v>
      </c>
      <c r="U7" s="771">
        <f t="shared" ref="U7:U14" si="1">H7</f>
        <v>0</v>
      </c>
      <c r="V7" s="770" t="s">
        <v>17</v>
      </c>
      <c r="W7" s="771">
        <f t="shared" ref="W7:W14" si="2">J7</f>
        <v>0</v>
      </c>
      <c r="X7" s="772"/>
      <c r="Y7" s="3475" t="s">
        <v>2543</v>
      </c>
      <c r="Z7" s="3476"/>
      <c r="AA7" s="773" t="e">
        <f>D7/F7</f>
        <v>#DIV/0!</v>
      </c>
      <c r="AB7" s="773" t="e">
        <f>D7/H7</f>
        <v>#DIV/0!</v>
      </c>
      <c r="AC7" s="773" t="e">
        <f>D7/J7</f>
        <v>#DIV/0!</v>
      </c>
    </row>
    <row r="8" spans="1:29" s="117" customFormat="1" ht="16"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475" t="s">
        <v>2546</v>
      </c>
      <c r="Q8" s="3476"/>
      <c r="R8" s="770" t="s">
        <v>17</v>
      </c>
      <c r="S8" s="771">
        <f t="shared" si="0"/>
        <v>0</v>
      </c>
      <c r="T8" s="770" t="s">
        <v>17</v>
      </c>
      <c r="U8" s="771">
        <f t="shared" si="1"/>
        <v>0</v>
      </c>
      <c r="V8" s="770" t="s">
        <v>17</v>
      </c>
      <c r="W8" s="771">
        <f t="shared" si="2"/>
        <v>0</v>
      </c>
      <c r="X8" s="772"/>
      <c r="Y8" s="3475" t="s">
        <v>2546</v>
      </c>
      <c r="Z8" s="3476"/>
      <c r="AA8" s="773" t="e">
        <f t="shared" ref="AA8:AA36" si="3">D8/F8</f>
        <v>#DIV/0!</v>
      </c>
      <c r="AB8" s="773" t="e">
        <f t="shared" ref="AB8:AB36" si="4">D8/H8</f>
        <v>#DIV/0!</v>
      </c>
      <c r="AC8" s="773" t="e">
        <f t="shared" ref="AC8:AC36" si="5">D8/J8</f>
        <v>#DIV/0!</v>
      </c>
    </row>
    <row r="9" spans="1:29" s="117" customFormat="1" ht="15">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489" t="s">
        <v>2549</v>
      </c>
      <c r="Q9" s="1794" t="str">
        <f t="shared" ref="Q9:Q14" si="6">B9</f>
        <v>用途</v>
      </c>
      <c r="R9" s="770" t="s">
        <v>17</v>
      </c>
      <c r="S9" s="771">
        <f t="shared" si="0"/>
        <v>100</v>
      </c>
      <c r="T9" s="770" t="s">
        <v>17</v>
      </c>
      <c r="U9" s="771">
        <f t="shared" si="1"/>
        <v>100</v>
      </c>
      <c r="V9" s="770" t="s">
        <v>17</v>
      </c>
      <c r="W9" s="771">
        <f t="shared" si="2"/>
        <v>100</v>
      </c>
      <c r="X9" s="772"/>
      <c r="Y9" s="3219" t="s">
        <v>2550</v>
      </c>
      <c r="Z9" s="55" t="str">
        <f t="shared" ref="Z9:Z14" si="7">Q9</f>
        <v>用途</v>
      </c>
      <c r="AA9" s="773">
        <f t="shared" si="3"/>
        <v>1</v>
      </c>
      <c r="AB9" s="773">
        <f t="shared" si="4"/>
        <v>1</v>
      </c>
      <c r="AC9" s="773">
        <f t="shared" si="5"/>
        <v>1</v>
      </c>
    </row>
    <row r="10" spans="1:29" s="427" customFormat="1" ht="30">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489"/>
      <c r="Q10" s="1794" t="str">
        <f t="shared" si="6"/>
        <v>土地使用年限（年）</v>
      </c>
      <c r="R10" s="770" t="s">
        <v>17</v>
      </c>
      <c r="S10" s="771">
        <f t="shared" si="0"/>
        <v>100</v>
      </c>
      <c r="T10" s="770" t="s">
        <v>17</v>
      </c>
      <c r="U10" s="771">
        <f t="shared" si="1"/>
        <v>100</v>
      </c>
      <c r="V10" s="770" t="s">
        <v>17</v>
      </c>
      <c r="W10" s="771">
        <f t="shared" si="2"/>
        <v>100</v>
      </c>
      <c r="X10" s="772"/>
      <c r="Y10" s="3219"/>
      <c r="Z10" s="55" t="str">
        <f t="shared" si="7"/>
        <v>土地使用年限（年）</v>
      </c>
      <c r="AA10" s="773">
        <f t="shared" si="3"/>
        <v>1</v>
      </c>
      <c r="AB10" s="773">
        <f t="shared" si="4"/>
        <v>1</v>
      </c>
      <c r="AC10" s="773">
        <f t="shared" si="5"/>
        <v>1</v>
      </c>
    </row>
    <row r="11" spans="1:29" ht="16">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489"/>
      <c r="Q11" s="1794">
        <f t="shared" si="6"/>
        <v>111</v>
      </c>
      <c r="R11" s="770" t="s">
        <v>17</v>
      </c>
      <c r="S11" s="771">
        <f t="shared" si="0"/>
        <v>100</v>
      </c>
      <c r="T11" s="770" t="s">
        <v>17</v>
      </c>
      <c r="U11" s="771">
        <f t="shared" si="1"/>
        <v>100</v>
      </c>
      <c r="V11" s="770" t="s">
        <v>17</v>
      </c>
      <c r="W11" s="771">
        <f t="shared" si="2"/>
        <v>100</v>
      </c>
      <c r="X11" s="772"/>
      <c r="Y11" s="3219"/>
      <c r="Z11" s="55">
        <f t="shared" si="7"/>
        <v>111</v>
      </c>
      <c r="AA11" s="773">
        <f t="shared" si="3"/>
        <v>1</v>
      </c>
      <c r="AB11" s="773">
        <f t="shared" si="4"/>
        <v>1</v>
      </c>
      <c r="AC11" s="773">
        <f t="shared" si="5"/>
        <v>1</v>
      </c>
    </row>
    <row r="12" spans="1:29" s="117" customFormat="1" ht="16">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489"/>
      <c r="Q12" s="1794">
        <f t="shared" si="6"/>
        <v>111</v>
      </c>
      <c r="R12" s="770" t="s">
        <v>17</v>
      </c>
      <c r="S12" s="771">
        <f t="shared" si="0"/>
        <v>100</v>
      </c>
      <c r="T12" s="770" t="s">
        <v>17</v>
      </c>
      <c r="U12" s="771">
        <f t="shared" si="1"/>
        <v>100</v>
      </c>
      <c r="V12" s="770" t="s">
        <v>17</v>
      </c>
      <c r="W12" s="771">
        <f t="shared" si="2"/>
        <v>100</v>
      </c>
      <c r="X12" s="772"/>
      <c r="Y12" s="3219"/>
      <c r="Z12" s="55">
        <f t="shared" si="7"/>
        <v>111</v>
      </c>
      <c r="AA12" s="773">
        <f>D12/F12</f>
        <v>1</v>
      </c>
      <c r="AB12" s="773">
        <f>D12/H12</f>
        <v>1</v>
      </c>
      <c r="AC12" s="773">
        <f>D12/J12</f>
        <v>1</v>
      </c>
    </row>
    <row r="13" spans="1:29" ht="17"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489"/>
      <c r="Q13" s="1794">
        <f t="shared" si="6"/>
        <v>111</v>
      </c>
      <c r="R13" s="770" t="s">
        <v>17</v>
      </c>
      <c r="S13" s="771">
        <f t="shared" si="0"/>
        <v>100</v>
      </c>
      <c r="T13" s="770" t="s">
        <v>17</v>
      </c>
      <c r="U13" s="771">
        <f t="shared" si="1"/>
        <v>100</v>
      </c>
      <c r="V13" s="770" t="s">
        <v>17</v>
      </c>
      <c r="W13" s="771">
        <f t="shared" si="2"/>
        <v>100</v>
      </c>
      <c r="X13" s="772"/>
      <c r="Y13" s="3219"/>
      <c r="Z13" s="55">
        <f t="shared" si="7"/>
        <v>111</v>
      </c>
      <c r="AA13" s="773">
        <f t="shared" si="3"/>
        <v>1</v>
      </c>
      <c r="AB13" s="773">
        <f t="shared" si="4"/>
        <v>1</v>
      </c>
      <c r="AC13" s="773">
        <f t="shared" si="5"/>
        <v>1</v>
      </c>
    </row>
    <row r="14" spans="1:29" ht="90">
      <c r="A14" s="401" t="s">
        <v>2553</v>
      </c>
      <c r="B14" s="629" t="s">
        <v>2703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504" t="s">
        <v>2554</v>
      </c>
      <c r="Q14" s="1809" t="str">
        <f t="shared" si="6"/>
        <v>交通便捷度</v>
      </c>
      <c r="R14" s="774" t="s">
        <v>17</v>
      </c>
      <c r="S14" s="775">
        <f t="shared" si="0"/>
        <v>100</v>
      </c>
      <c r="T14" s="774" t="s">
        <v>17</v>
      </c>
      <c r="U14" s="775">
        <f t="shared" si="1"/>
        <v>100</v>
      </c>
      <c r="V14" s="774" t="s">
        <v>17</v>
      </c>
      <c r="W14" s="775">
        <f t="shared" si="2"/>
        <v>100</v>
      </c>
      <c r="X14" s="1812"/>
      <c r="Y14" s="3504" t="s">
        <v>2554</v>
      </c>
      <c r="Z14" s="1813" t="str">
        <f t="shared" si="7"/>
        <v>交通便捷度</v>
      </c>
      <c r="AA14" s="1810">
        <f t="shared" si="3"/>
        <v>1</v>
      </c>
      <c r="AB14" s="1810">
        <f t="shared" si="4"/>
        <v>1</v>
      </c>
      <c r="AC14" s="1810">
        <f t="shared" si="5"/>
        <v>1</v>
      </c>
    </row>
    <row r="15" spans="1:29" ht="16">
      <c r="A15" s="404"/>
      <c r="B15" s="647"/>
      <c r="C15" s="447"/>
      <c r="D15" s="448"/>
      <c r="E15" s="447"/>
      <c r="F15" s="449"/>
      <c r="G15" s="447"/>
      <c r="H15" s="450"/>
      <c r="I15" s="447"/>
      <c r="J15" s="448"/>
      <c r="K15" s="615"/>
      <c r="L15" s="1140"/>
      <c r="M15" s="1131"/>
      <c r="N15" s="1131"/>
      <c r="O15" s="1131"/>
      <c r="P15" s="3505"/>
      <c r="Q15" s="1809"/>
      <c r="R15" s="774"/>
      <c r="S15" s="775"/>
      <c r="T15" s="774"/>
      <c r="U15" s="775"/>
      <c r="V15" s="774"/>
      <c r="W15" s="775"/>
      <c r="X15" s="1812"/>
      <c r="Y15" s="3505"/>
      <c r="Z15" s="1813"/>
      <c r="AA15" s="1810">
        <v>1</v>
      </c>
      <c r="AB15" s="1810">
        <v>1</v>
      </c>
      <c r="AC15" s="1810">
        <v>1</v>
      </c>
    </row>
    <row r="16" spans="1:29" ht="45">
      <c r="A16" s="404"/>
      <c r="B16" s="631" t="s">
        <v>2682</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505"/>
      <c r="Q16" s="1809" t="str">
        <f>B16</f>
        <v>公共配套设施</v>
      </c>
      <c r="R16" s="774" t="s">
        <v>17</v>
      </c>
      <c r="S16" s="775">
        <f>F16</f>
        <v>100</v>
      </c>
      <c r="T16" s="774" t="s">
        <v>17</v>
      </c>
      <c r="U16" s="775">
        <f>H16</f>
        <v>100</v>
      </c>
      <c r="V16" s="774" t="s">
        <v>17</v>
      </c>
      <c r="W16" s="775">
        <f>J16</f>
        <v>100</v>
      </c>
      <c r="X16" s="1812"/>
      <c r="Y16" s="3505"/>
      <c r="Z16" s="1813" t="str">
        <f>Q16</f>
        <v>公共配套设施</v>
      </c>
      <c r="AA16" s="1810">
        <f t="shared" si="3"/>
        <v>1</v>
      </c>
      <c r="AB16" s="1810">
        <f t="shared" si="4"/>
        <v>1</v>
      </c>
      <c r="AC16" s="1810">
        <f t="shared" si="5"/>
        <v>1</v>
      </c>
    </row>
    <row r="17" spans="1:29" ht="16">
      <c r="A17" s="404"/>
      <c r="B17" s="632"/>
      <c r="C17" s="2608"/>
      <c r="D17" s="448"/>
      <c r="E17" s="447"/>
      <c r="F17" s="449"/>
      <c r="G17" s="447"/>
      <c r="H17" s="448"/>
      <c r="I17" s="447"/>
      <c r="J17" s="448"/>
      <c r="K17" s="615"/>
      <c r="L17" s="1140"/>
      <c r="M17" s="1131"/>
      <c r="N17" s="1131"/>
      <c r="O17" s="1131"/>
      <c r="P17" s="3505"/>
      <c r="Q17" s="1809"/>
      <c r="R17" s="774"/>
      <c r="S17" s="775"/>
      <c r="T17" s="774"/>
      <c r="U17" s="775"/>
      <c r="V17" s="774"/>
      <c r="W17" s="775"/>
      <c r="X17" s="1812"/>
      <c r="Y17" s="3505"/>
      <c r="Z17" s="1813"/>
      <c r="AA17" s="1810">
        <v>1</v>
      </c>
      <c r="AB17" s="1810">
        <v>1</v>
      </c>
      <c r="AC17" s="1810">
        <v>1</v>
      </c>
    </row>
    <row r="18" spans="1:29" ht="30">
      <c r="A18" s="404"/>
      <c r="B18" s="633" t="s">
        <v>2683</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505"/>
      <c r="Q18" s="1809" t="str">
        <f>B18</f>
        <v>基础设施水平</v>
      </c>
      <c r="R18" s="774" t="s">
        <v>17</v>
      </c>
      <c r="S18" s="775">
        <f>F18</f>
        <v>100</v>
      </c>
      <c r="T18" s="774" t="s">
        <v>17</v>
      </c>
      <c r="U18" s="775">
        <f>H18</f>
        <v>100</v>
      </c>
      <c r="V18" s="774" t="s">
        <v>17</v>
      </c>
      <c r="W18" s="775">
        <f>J18</f>
        <v>100</v>
      </c>
      <c r="X18" s="1812"/>
      <c r="Y18" s="3505"/>
      <c r="Z18" s="1813" t="str">
        <f>Q18</f>
        <v>基础设施水平</v>
      </c>
      <c r="AA18" s="1810">
        <f t="shared" ref="AA18" si="8">D18/F18</f>
        <v>1</v>
      </c>
      <c r="AB18" s="1810">
        <f t="shared" ref="AB18" si="9">D18/H18</f>
        <v>1</v>
      </c>
      <c r="AC18" s="1810">
        <f t="shared" ref="AC18" si="10">D18/J18</f>
        <v>1</v>
      </c>
    </row>
    <row r="19" spans="1:29" ht="16">
      <c r="A19" s="404"/>
      <c r="B19" s="633"/>
      <c r="C19" s="2608"/>
      <c r="D19" s="450"/>
      <c r="E19" s="2608"/>
      <c r="F19" s="453"/>
      <c r="G19" s="2608"/>
      <c r="H19" s="448"/>
      <c r="I19" s="447"/>
      <c r="J19" s="448"/>
      <c r="K19" s="1383"/>
      <c r="L19" s="1140"/>
      <c r="M19" s="1131"/>
      <c r="N19" s="1131"/>
      <c r="O19" s="1131"/>
      <c r="P19" s="3505"/>
      <c r="Q19" s="1809"/>
      <c r="R19" s="774"/>
      <c r="S19" s="775"/>
      <c r="T19" s="774"/>
      <c r="U19" s="775"/>
      <c r="V19" s="774"/>
      <c r="W19" s="775"/>
      <c r="X19" s="1812"/>
      <c r="Y19" s="3505"/>
      <c r="Z19" s="1813"/>
      <c r="AA19" s="1810">
        <v>1</v>
      </c>
      <c r="AB19" s="1810">
        <v>1</v>
      </c>
      <c r="AC19" s="1810">
        <v>1</v>
      </c>
    </row>
    <row r="20" spans="1:29" ht="60">
      <c r="A20" s="404"/>
      <c r="B20" s="631" t="s">
        <v>2704</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505"/>
      <c r="Q20" s="1809" t="str">
        <f>B20</f>
        <v>自然及人文环境</v>
      </c>
      <c r="R20" s="774" t="s">
        <v>17</v>
      </c>
      <c r="S20" s="775">
        <f>F20</f>
        <v>100</v>
      </c>
      <c r="T20" s="774" t="s">
        <v>17</v>
      </c>
      <c r="U20" s="775">
        <f>H20</f>
        <v>100</v>
      </c>
      <c r="V20" s="774" t="s">
        <v>17</v>
      </c>
      <c r="W20" s="775">
        <f>J20</f>
        <v>100</v>
      </c>
      <c r="X20" s="1812"/>
      <c r="Y20" s="3505"/>
      <c r="Z20" s="1813" t="str">
        <f>Q20</f>
        <v>自然及人文环境</v>
      </c>
      <c r="AA20" s="1810">
        <f t="shared" si="3"/>
        <v>1</v>
      </c>
      <c r="AB20" s="1810">
        <f t="shared" si="4"/>
        <v>1</v>
      </c>
      <c r="AC20" s="1810">
        <f t="shared" si="5"/>
        <v>1</v>
      </c>
    </row>
    <row r="21" spans="1:29" ht="16">
      <c r="A21" s="404"/>
      <c r="B21" s="632"/>
      <c r="C21" s="447"/>
      <c r="D21" s="448"/>
      <c r="E21" s="447"/>
      <c r="F21" s="449"/>
      <c r="G21" s="447"/>
      <c r="H21" s="448"/>
      <c r="I21" s="447"/>
      <c r="J21" s="448"/>
      <c r="K21" s="615"/>
      <c r="L21" s="1140"/>
      <c r="M21" s="1131"/>
      <c r="N21" s="1131"/>
      <c r="O21" s="1131"/>
      <c r="P21" s="3505"/>
      <c r="Q21" s="1809"/>
      <c r="R21" s="774"/>
      <c r="S21" s="775"/>
      <c r="T21" s="774"/>
      <c r="U21" s="775"/>
      <c r="V21" s="774"/>
      <c r="W21" s="775"/>
      <c r="X21" s="1812"/>
      <c r="Y21" s="3505"/>
      <c r="Z21" s="1813"/>
      <c r="AA21" s="1810">
        <v>1</v>
      </c>
      <c r="AB21" s="1810">
        <v>1</v>
      </c>
      <c r="AC21" s="1810">
        <v>1</v>
      </c>
    </row>
    <row r="22" spans="1:29" ht="16">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505"/>
      <c r="Q22" s="1809" t="str">
        <f>B22</f>
        <v>楼层</v>
      </c>
      <c r="R22" s="774" t="s">
        <v>17</v>
      </c>
      <c r="S22" s="775">
        <f>F22</f>
        <v>100</v>
      </c>
      <c r="T22" s="774" t="s">
        <v>17</v>
      </c>
      <c r="U22" s="775">
        <f>H22</f>
        <v>100</v>
      </c>
      <c r="V22" s="774" t="s">
        <v>17</v>
      </c>
      <c r="W22" s="775">
        <f>J22</f>
        <v>100</v>
      </c>
      <c r="X22" s="1812"/>
      <c r="Y22" s="3505"/>
      <c r="Z22" s="1813" t="str">
        <f>Q22</f>
        <v>楼层</v>
      </c>
      <c r="AA22" s="1810">
        <f t="shared" si="3"/>
        <v>1</v>
      </c>
      <c r="AB22" s="1810">
        <f t="shared" si="4"/>
        <v>1</v>
      </c>
      <c r="AC22" s="1810">
        <f t="shared" si="5"/>
        <v>1</v>
      </c>
    </row>
    <row r="23" spans="1:29" ht="16">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505"/>
      <c r="Q23" s="1809">
        <f>B23</f>
        <v>111</v>
      </c>
      <c r="R23" s="774" t="s">
        <v>17</v>
      </c>
      <c r="S23" s="775">
        <f>F23</f>
        <v>100</v>
      </c>
      <c r="T23" s="774" t="s">
        <v>17</v>
      </c>
      <c r="U23" s="775">
        <f>H23</f>
        <v>100</v>
      </c>
      <c r="V23" s="774" t="s">
        <v>17</v>
      </c>
      <c r="W23" s="775">
        <f>J23</f>
        <v>100</v>
      </c>
      <c r="X23" s="1812"/>
      <c r="Y23" s="3505"/>
      <c r="Z23" s="1813">
        <f>Q23</f>
        <v>111</v>
      </c>
      <c r="AA23" s="1810">
        <f t="shared" si="3"/>
        <v>1</v>
      </c>
      <c r="AB23" s="1810">
        <f t="shared" si="4"/>
        <v>1</v>
      </c>
      <c r="AC23" s="1810">
        <f t="shared" si="5"/>
        <v>1</v>
      </c>
    </row>
    <row r="24" spans="1:29" ht="16">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505"/>
      <c r="Q24" s="1809">
        <f t="shared" ref="Q24:Q36" si="11">B24</f>
        <v>111</v>
      </c>
      <c r="R24" s="774" t="s">
        <v>17</v>
      </c>
      <c r="S24" s="775">
        <f>F24</f>
        <v>100</v>
      </c>
      <c r="T24" s="774" t="s">
        <v>17</v>
      </c>
      <c r="U24" s="775">
        <f>H24</f>
        <v>100</v>
      </c>
      <c r="V24" s="774" t="s">
        <v>17</v>
      </c>
      <c r="W24" s="775">
        <f>J24</f>
        <v>100</v>
      </c>
      <c r="X24" s="1812"/>
      <c r="Y24" s="3505"/>
      <c r="Z24" s="1813">
        <f>Q24</f>
        <v>111</v>
      </c>
      <c r="AA24" s="1810">
        <f t="shared" si="3"/>
        <v>1</v>
      </c>
      <c r="AB24" s="1810">
        <f t="shared" si="4"/>
        <v>1</v>
      </c>
      <c r="AC24" s="1810">
        <f t="shared" si="5"/>
        <v>1</v>
      </c>
    </row>
    <row r="25" spans="1:29" s="117" customFormat="1" ht="17"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505"/>
      <c r="Q25" s="1794">
        <f t="shared" si="11"/>
        <v>111</v>
      </c>
      <c r="R25" s="770" t="s">
        <v>17</v>
      </c>
      <c r="S25" s="771">
        <f>F25</f>
        <v>100</v>
      </c>
      <c r="T25" s="770" t="s">
        <v>17</v>
      </c>
      <c r="U25" s="771">
        <f>H25</f>
        <v>100</v>
      </c>
      <c r="V25" s="770" t="s">
        <v>17</v>
      </c>
      <c r="W25" s="771">
        <f>J25</f>
        <v>100</v>
      </c>
      <c r="X25" s="772"/>
      <c r="Y25" s="3505"/>
      <c r="Z25" s="55">
        <f>Q25</f>
        <v>111</v>
      </c>
      <c r="AA25" s="1810">
        <f>D25/F25</f>
        <v>1</v>
      </c>
      <c r="AB25" s="1810">
        <f>D25/H25</f>
        <v>1</v>
      </c>
      <c r="AC25" s="1810">
        <f>D25/J25</f>
        <v>1</v>
      </c>
    </row>
    <row r="26" spans="1:29" ht="20">
      <c r="A26" s="652" t="s">
        <v>2557</v>
      </c>
      <c r="B26" s="70" t="s">
        <v>2706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06" t="s">
        <v>2559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507" t="s">
        <v>2559</v>
      </c>
      <c r="Z26" s="1813" t="str">
        <f t="shared" ref="Z26:Z36" si="15">Q26</f>
        <v>配套类型</v>
      </c>
      <c r="AA26" s="1810">
        <f t="shared" si="3"/>
        <v>1</v>
      </c>
      <c r="AB26" s="1810">
        <f t="shared" si="4"/>
        <v>1</v>
      </c>
      <c r="AC26" s="1810">
        <f t="shared" si="5"/>
        <v>1</v>
      </c>
    </row>
    <row r="27" spans="1:29" s="471" customFormat="1" ht="16">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507"/>
      <c r="Q27" s="776" t="str">
        <f t="shared" si="11"/>
        <v>项目停车位配比</v>
      </c>
      <c r="R27" s="777" t="s">
        <v>17</v>
      </c>
      <c r="S27" s="778">
        <f t="shared" si="12"/>
        <v>100</v>
      </c>
      <c r="T27" s="777" t="s">
        <v>17</v>
      </c>
      <c r="U27" s="778">
        <f t="shared" si="13"/>
        <v>100</v>
      </c>
      <c r="V27" s="777" t="s">
        <v>17</v>
      </c>
      <c r="W27" s="778">
        <f t="shared" si="14"/>
        <v>100</v>
      </c>
      <c r="X27" s="779"/>
      <c r="Y27" s="3507"/>
      <c r="Z27" s="780" t="str">
        <f t="shared" si="15"/>
        <v>项目停车位配比</v>
      </c>
      <c r="AA27" s="1810">
        <f t="shared" si="3"/>
        <v>1</v>
      </c>
      <c r="AB27" s="1810">
        <f t="shared" si="4"/>
        <v>1</v>
      </c>
      <c r="AC27" s="1810">
        <f t="shared" si="5"/>
        <v>1</v>
      </c>
    </row>
    <row r="28" spans="1:29" ht="16">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507"/>
      <c r="Q28" s="1809" t="str">
        <f t="shared" si="11"/>
        <v>公共部分装修</v>
      </c>
      <c r="R28" s="774" t="s">
        <v>17</v>
      </c>
      <c r="S28" s="775">
        <f t="shared" si="12"/>
        <v>100</v>
      </c>
      <c r="T28" s="774" t="s">
        <v>17</v>
      </c>
      <c r="U28" s="775">
        <f t="shared" si="13"/>
        <v>100</v>
      </c>
      <c r="V28" s="774" t="s">
        <v>17</v>
      </c>
      <c r="W28" s="775">
        <f t="shared" si="14"/>
        <v>100</v>
      </c>
      <c r="X28" s="1812"/>
      <c r="Y28" s="3507"/>
      <c r="Z28" s="1813" t="str">
        <f t="shared" si="15"/>
        <v>公共部分装修</v>
      </c>
      <c r="AA28" s="1810">
        <f t="shared" si="3"/>
        <v>1</v>
      </c>
      <c r="AB28" s="1810">
        <f t="shared" si="4"/>
        <v>1</v>
      </c>
      <c r="AC28" s="1810">
        <f t="shared" si="5"/>
        <v>1</v>
      </c>
    </row>
    <row r="29" spans="1:29" ht="16">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507"/>
      <c r="Q29" s="1809" t="str">
        <f t="shared" si="11"/>
        <v>成新率</v>
      </c>
      <c r="R29" s="774" t="s">
        <v>17</v>
      </c>
      <c r="S29" s="775" t="e">
        <f t="shared" si="12"/>
        <v>#N/A</v>
      </c>
      <c r="T29" s="774" t="s">
        <v>17</v>
      </c>
      <c r="U29" s="775" t="e">
        <f t="shared" si="13"/>
        <v>#N/A</v>
      </c>
      <c r="V29" s="774" t="s">
        <v>17</v>
      </c>
      <c r="W29" s="775" t="e">
        <f t="shared" si="14"/>
        <v>#N/A</v>
      </c>
      <c r="X29" s="1812"/>
      <c r="Y29" s="3507"/>
      <c r="Z29" s="1813" t="str">
        <f t="shared" si="15"/>
        <v>成新率</v>
      </c>
      <c r="AA29" s="1810" t="e">
        <f t="shared" si="3"/>
        <v>#N/A</v>
      </c>
      <c r="AB29" s="1810" t="e">
        <f t="shared" si="4"/>
        <v>#N/A</v>
      </c>
      <c r="AC29" s="1810" t="e">
        <f t="shared" si="5"/>
        <v>#N/A</v>
      </c>
    </row>
    <row r="30" spans="1:29" ht="16">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507"/>
      <c r="Q30" s="1809" t="str">
        <f t="shared" si="11"/>
        <v>物业等级</v>
      </c>
      <c r="R30" s="774" t="s">
        <v>17</v>
      </c>
      <c r="S30" s="775">
        <f t="shared" si="12"/>
        <v>100</v>
      </c>
      <c r="T30" s="774" t="s">
        <v>17</v>
      </c>
      <c r="U30" s="775">
        <f t="shared" si="13"/>
        <v>100</v>
      </c>
      <c r="V30" s="774" t="s">
        <v>17</v>
      </c>
      <c r="W30" s="775">
        <f t="shared" si="14"/>
        <v>100</v>
      </c>
      <c r="X30" s="1812"/>
      <c r="Y30" s="3507"/>
      <c r="Z30" s="1813" t="str">
        <f t="shared" si="15"/>
        <v>物业等级</v>
      </c>
      <c r="AA30" s="1810">
        <f t="shared" si="3"/>
        <v>1</v>
      </c>
      <c r="AB30" s="1810">
        <f t="shared" si="4"/>
        <v>1</v>
      </c>
      <c r="AC30" s="1810">
        <f t="shared" si="5"/>
        <v>1</v>
      </c>
    </row>
    <row r="31" spans="1:29" s="117" customFormat="1" ht="16">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507"/>
      <c r="Q31" s="1794" t="str">
        <f t="shared" si="11"/>
        <v>停车位面积</v>
      </c>
      <c r="R31" s="770" t="s">
        <v>17</v>
      </c>
      <c r="S31" s="771" t="e">
        <f t="shared" si="12"/>
        <v>#N/A</v>
      </c>
      <c r="T31" s="770" t="s">
        <v>17</v>
      </c>
      <c r="U31" s="771" t="e">
        <f t="shared" si="13"/>
        <v>#N/A</v>
      </c>
      <c r="V31" s="770" t="s">
        <v>17</v>
      </c>
      <c r="W31" s="771" t="e">
        <f t="shared" si="14"/>
        <v>#N/A</v>
      </c>
      <c r="X31" s="772"/>
      <c r="Y31" s="3507"/>
      <c r="Z31" s="55" t="str">
        <f t="shared" si="15"/>
        <v>停车位面积</v>
      </c>
      <c r="AA31" s="773" t="e">
        <f t="shared" si="3"/>
        <v>#N/A</v>
      </c>
      <c r="AB31" s="773" t="e">
        <f t="shared" si="4"/>
        <v>#N/A</v>
      </c>
      <c r="AC31" s="773" t="e">
        <f t="shared" si="5"/>
        <v>#N/A</v>
      </c>
    </row>
    <row r="32" spans="1:29" ht="16">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507" t="s">
        <v>2559</v>
      </c>
      <c r="Q32" s="1809" t="str">
        <f t="shared" si="11"/>
        <v>车位类型</v>
      </c>
      <c r="R32" s="774" t="s">
        <v>17</v>
      </c>
      <c r="S32" s="775">
        <f t="shared" si="12"/>
        <v>100</v>
      </c>
      <c r="T32" s="774" t="s">
        <v>17</v>
      </c>
      <c r="U32" s="775">
        <f t="shared" si="13"/>
        <v>100</v>
      </c>
      <c r="V32" s="774" t="s">
        <v>17</v>
      </c>
      <c r="W32" s="775">
        <f t="shared" si="14"/>
        <v>100</v>
      </c>
      <c r="X32" s="1812"/>
      <c r="Y32" s="3507" t="s">
        <v>2559</v>
      </c>
      <c r="Z32" s="1813" t="str">
        <f t="shared" si="15"/>
        <v>车位类型</v>
      </c>
      <c r="AA32" s="1810">
        <f t="shared" si="3"/>
        <v>1</v>
      </c>
      <c r="AB32" s="1810">
        <f t="shared" si="4"/>
        <v>1</v>
      </c>
      <c r="AC32" s="1810">
        <f t="shared" si="5"/>
        <v>1</v>
      </c>
    </row>
    <row r="33" spans="1:29" ht="16">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507"/>
      <c r="Q33" s="1809" t="str">
        <f t="shared" si="11"/>
        <v>是否直接入户</v>
      </c>
      <c r="R33" s="774" t="s">
        <v>17</v>
      </c>
      <c r="S33" s="775">
        <f t="shared" si="12"/>
        <v>100</v>
      </c>
      <c r="T33" s="774" t="s">
        <v>17</v>
      </c>
      <c r="U33" s="775">
        <f t="shared" si="13"/>
        <v>100</v>
      </c>
      <c r="V33" s="774" t="s">
        <v>17</v>
      </c>
      <c r="W33" s="775">
        <f t="shared" si="14"/>
        <v>100</v>
      </c>
      <c r="X33" s="1812"/>
      <c r="Y33" s="3507"/>
      <c r="Z33" s="1813" t="str">
        <f t="shared" si="15"/>
        <v>是否直接入户</v>
      </c>
      <c r="AA33" s="1810">
        <f t="shared" si="3"/>
        <v>1</v>
      </c>
      <c r="AB33" s="1810">
        <f t="shared" si="4"/>
        <v>1</v>
      </c>
      <c r="AC33" s="1810">
        <f t="shared" si="5"/>
        <v>1</v>
      </c>
    </row>
    <row r="34" spans="1:29" ht="16">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507"/>
      <c r="Q34" s="1809">
        <f t="shared" si="11"/>
        <v>111</v>
      </c>
      <c r="R34" s="774" t="s">
        <v>17</v>
      </c>
      <c r="S34" s="775">
        <f t="shared" si="12"/>
        <v>100</v>
      </c>
      <c r="T34" s="774" t="s">
        <v>17</v>
      </c>
      <c r="U34" s="775">
        <f t="shared" si="13"/>
        <v>100</v>
      </c>
      <c r="V34" s="774" t="s">
        <v>17</v>
      </c>
      <c r="W34" s="775">
        <f t="shared" si="14"/>
        <v>100</v>
      </c>
      <c r="X34" s="1812"/>
      <c r="Y34" s="3507"/>
      <c r="Z34" s="1813">
        <f t="shared" si="15"/>
        <v>111</v>
      </c>
      <c r="AA34" s="1810">
        <f t="shared" si="3"/>
        <v>1</v>
      </c>
      <c r="AB34" s="1810">
        <f t="shared" si="4"/>
        <v>1</v>
      </c>
      <c r="AC34" s="1810">
        <f t="shared" si="5"/>
        <v>1</v>
      </c>
    </row>
    <row r="35" spans="1:29" s="471" customFormat="1" ht="16">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507"/>
      <c r="Q35" s="776">
        <f t="shared" si="11"/>
        <v>111</v>
      </c>
      <c r="R35" s="777" t="s">
        <v>17</v>
      </c>
      <c r="S35" s="778">
        <f t="shared" si="12"/>
        <v>100</v>
      </c>
      <c r="T35" s="777" t="s">
        <v>17</v>
      </c>
      <c r="U35" s="778">
        <f t="shared" si="13"/>
        <v>100</v>
      </c>
      <c r="V35" s="777" t="s">
        <v>17</v>
      </c>
      <c r="W35" s="778">
        <f t="shared" si="14"/>
        <v>100</v>
      </c>
      <c r="X35" s="779"/>
      <c r="Y35" s="3507"/>
      <c r="Z35" s="780">
        <f t="shared" si="15"/>
        <v>111</v>
      </c>
      <c r="AA35" s="1810">
        <f t="shared" si="3"/>
        <v>1</v>
      </c>
      <c r="AB35" s="1810">
        <f t="shared" si="4"/>
        <v>1</v>
      </c>
      <c r="AC35" s="1810">
        <f t="shared" si="5"/>
        <v>1</v>
      </c>
    </row>
    <row r="36" spans="1:29" ht="17"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507"/>
      <c r="Q36" s="1809">
        <f t="shared" si="11"/>
        <v>111</v>
      </c>
      <c r="R36" s="774" t="s">
        <v>17</v>
      </c>
      <c r="S36" s="775">
        <f t="shared" si="12"/>
        <v>100</v>
      </c>
      <c r="T36" s="774" t="s">
        <v>17</v>
      </c>
      <c r="U36" s="775">
        <f t="shared" si="13"/>
        <v>100</v>
      </c>
      <c r="V36" s="774" t="s">
        <v>17</v>
      </c>
      <c r="W36" s="775">
        <f t="shared" si="14"/>
        <v>100</v>
      </c>
      <c r="X36" s="1812"/>
      <c r="Y36" s="3507"/>
      <c r="Z36" s="1813">
        <f t="shared" si="15"/>
        <v>111</v>
      </c>
      <c r="AA36" s="1810">
        <f t="shared" si="3"/>
        <v>1</v>
      </c>
      <c r="AB36" s="1810">
        <f t="shared" si="4"/>
        <v>1</v>
      </c>
      <c r="AC36" s="1810">
        <f t="shared" si="5"/>
        <v>1</v>
      </c>
    </row>
    <row r="37" spans="1:29" ht="15">
      <c r="A37" s="479" t="s">
        <v>2714</v>
      </c>
      <c r="B37" s="2695" t="s">
        <v>2715</v>
      </c>
      <c r="C37" s="1407" t="s">
        <v>1</v>
      </c>
      <c r="D37" s="1408"/>
      <c r="E37" s="1409"/>
      <c r="F37" s="1410"/>
      <c r="G37" s="1411"/>
      <c r="H37" s="1412"/>
      <c r="I37" s="1409"/>
      <c r="J37" s="1412"/>
      <c r="K37" s="619"/>
      <c r="L37" s="1143"/>
      <c r="M37" s="1144"/>
      <c r="N37" s="1131"/>
      <c r="O37" s="1144"/>
      <c r="P37" s="3489" t="str">
        <f>A37</f>
        <v>成交单价</v>
      </c>
      <c r="Q37" s="3489"/>
      <c r="R37" s="3543">
        <f>E37</f>
        <v>0</v>
      </c>
      <c r="S37" s="3543"/>
      <c r="T37" s="3543">
        <f>G37</f>
        <v>0</v>
      </c>
      <c r="U37" s="3543"/>
      <c r="V37" s="3543">
        <f>I37</f>
        <v>0</v>
      </c>
      <c r="W37" s="3543"/>
      <c r="X37" s="759"/>
      <c r="Y37" s="781"/>
      <c r="Z37" s="759"/>
      <c r="AA37" s="759"/>
      <c r="AB37" s="759"/>
      <c r="AC37" s="759"/>
    </row>
    <row r="38" spans="1:29" ht="1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489" t="str">
        <f>A38</f>
        <v>比较价值（元/平方米）</v>
      </c>
      <c r="Q38" s="3489"/>
      <c r="R38" s="3543" t="e">
        <f>IF(F1="售价",ROUND(PRODUCT(R37,AA7:AA36),0),ROUND(PRODUCT(R37,AA7:AA36),1))</f>
        <v>#DIV/0!</v>
      </c>
      <c r="S38" s="3543"/>
      <c r="T38" s="3543" t="e">
        <f>IF(F1="售价",ROUND(PRODUCT(T37,AB7:AB36),0),ROUND(PRODUCT(T37,AB7:AB36),1))</f>
        <v>#DIV/0!</v>
      </c>
      <c r="U38" s="3543"/>
      <c r="V38" s="3543" t="e">
        <f>IF(F1="售价",ROUND(PRODUCT(V37,AC7:AC36),0),ROUND(PRODUCT(V37,AC7:AC36),1))</f>
        <v>#DIV/0!</v>
      </c>
      <c r="W38" s="3543"/>
      <c r="X38" s="759"/>
      <c r="Y38" s="759"/>
      <c r="Z38" s="759"/>
      <c r="AA38" s="759"/>
      <c r="AB38" s="759"/>
      <c r="AC38" s="759"/>
    </row>
    <row r="39" spans="1:29" ht="15" thickBot="1">
      <c r="A39" s="492" t="s">
        <v>2717</v>
      </c>
      <c r="B39" s="493"/>
      <c r="C39" s="1417" t="e">
        <f>R39</f>
        <v>#DIV/0!</v>
      </c>
      <c r="D39" s="1417"/>
      <c r="E39" s="1417"/>
      <c r="F39" s="1417"/>
      <c r="G39" s="1417"/>
      <c r="H39" s="1417"/>
      <c r="I39" s="1417"/>
      <c r="J39" s="1417"/>
      <c r="K39" s="621"/>
      <c r="L39" s="1143"/>
      <c r="M39" s="1144"/>
      <c r="N39" s="1144"/>
      <c r="O39" s="1144"/>
      <c r="P39" s="3509" t="str">
        <f>A39</f>
        <v>估价对象XX用房的比较价值（楼面单价，元/平方米）</v>
      </c>
      <c r="Q39" s="3510"/>
      <c r="R39" s="3542" t="e">
        <f>IF(F1="售价",ROUND(AVERAGE(R38:V38),0),ROUND(AVERAGE(R38:V38),1))</f>
        <v>#DIV/0!</v>
      </c>
      <c r="S39" s="3542"/>
      <c r="T39" s="3542"/>
      <c r="U39" s="3542"/>
      <c r="V39" s="3542"/>
      <c r="W39" s="354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5">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31"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6"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6"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6"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6"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6"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6"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31"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6"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6"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6"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6"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6"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6"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6"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G17 C17 E17 I17" xr:uid="{00000000-0002-0000-2A00-000002000000}">
      <formula1>公共配套设施</formula1>
    </dataValidation>
    <dataValidation type="list" allowBlank="1" showInputMessage="1" showErrorMessage="1" sqref="G15 E15 C15 I15" xr:uid="{00000000-0002-0000-2A00-000003000000}">
      <formula1>交通便捷度</formula1>
    </dataValidation>
    <dataValidation type="list" allowBlank="1" showInputMessage="1" showErrorMessage="1" sqref="C8 E8 G8 I8" xr:uid="{00000000-0002-0000-2A00-000004000000}">
      <formula1>车位交易情况</formula1>
    </dataValidation>
    <dataValidation type="list" allowBlank="1" showInputMessage="1" showErrorMessage="1" sqref="E9 G9 I9" xr:uid="{00000000-0002-0000-2A00-000005000000}">
      <formula1>车位用途</formula1>
    </dataValidation>
    <dataValidation type="list" allowBlank="1" showInputMessage="1" showErrorMessage="1" sqref="C22 E22 G22 I22" xr:uid="{00000000-0002-0000-2A00-000006000000}">
      <formula1>车位楼层</formula1>
    </dataValidation>
    <dataValidation type="list" allowBlank="1" showInputMessage="1" showErrorMessage="1" sqref="C30 E30 G30 I30" xr:uid="{00000000-0002-0000-2A00-000007000000}">
      <formula1>车位物业等级</formula1>
    </dataValidation>
    <dataValidation type="list" allowBlank="1" showInputMessage="1" showErrorMessage="1" sqref="C32 E32 G32 I32" xr:uid="{00000000-0002-0000-2A00-000008000000}">
      <formula1>车位类型</formula1>
    </dataValidation>
    <dataValidation type="list" allowBlank="1" showInputMessage="1" showErrorMessage="1" sqref="C33 E33 G33 I33" xr:uid="{00000000-0002-0000-2A00-000009000000}">
      <formula1>是否直接入户</formula1>
    </dataValidation>
    <dataValidation type="list" allowBlank="1" showInputMessage="1" showErrorMessage="1" sqref="B1" xr:uid="{00000000-0002-0000-2A00-00000A000000}">
      <formula1>地类判定</formula1>
    </dataValidation>
    <dataValidation type="list" allowBlank="1" showInputMessage="1" showErrorMessage="1" sqref="I26 E26 G26" xr:uid="{00000000-0002-0000-2A00-00000B000000}">
      <formula1>车位配套类型</formula1>
    </dataValidation>
    <dataValidation type="list" allowBlank="1" showInputMessage="1" showErrorMessage="1" sqref="C28 E28 G28 I28" xr:uid="{00000000-0002-0000-2A00-00000C000000}">
      <formula1>车位公共部分装修</formula1>
    </dataValidation>
    <dataValidation type="list" allowBlank="1" showInputMessage="1" showErrorMessage="1" sqref="B37" xr:uid="{00000000-0002-0000-2A00-00000D000000}">
      <formula1>"元/平方米,元/车位"</formula1>
    </dataValidation>
    <dataValidation type="list" allowBlank="1" showInputMessage="1" showErrorMessage="1" sqref="C21 E21 G21 I21" xr:uid="{00000000-0002-0000-2A00-00000E000000}">
      <formula1>环境</formula1>
    </dataValidation>
    <dataValidation type="list" allowBlank="1" showInputMessage="1" showErrorMessage="1" sqref="C19 E19 G19 I19" xr:uid="{00000000-0002-0000-2A00-00000F000000}">
      <formula1>基础设施水平</formula1>
    </dataValidation>
    <dataValidation type="list" allowBlank="1" showInputMessage="1" showErrorMessage="1" sqref="F1" xr:uid="{00000000-0002-0000-2A00-000010000000}">
      <formula1>"售价,租金"</formula1>
    </dataValidation>
    <dataValidation type="list" allowBlank="1" showInputMessage="1" showErrorMessage="1" sqref="C2" xr:uid="{00000000-0002-0000-2A00-000011000000}">
      <formula1>"需扣减承租人权益,——"</formula1>
    </dataValidation>
    <dataValidation type="list" allowBlank="1" showInputMessage="1" showErrorMessage="1" sqref="F2" xr:uid="{00000000-0002-0000-2A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41"/>
  <sheetViews>
    <sheetView zoomScale="89" zoomScaleNormal="89" workbookViewId="0">
      <selection sqref="A1:XFD1048576"/>
    </sheetView>
  </sheetViews>
  <sheetFormatPr baseColWidth="10" defaultColWidth="9" defaultRowHeight="14"/>
  <cols>
    <col min="1" max="1" width="10.5" style="403" customWidth="1"/>
    <col min="2" max="2" width="15.832031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1628" customFormat="1" ht="28.5" customHeight="1" thickBot="1">
      <c r="A1" s="1617" t="s">
        <v>2701</v>
      </c>
      <c r="B1" s="1618"/>
      <c r="C1" s="1619" t="s">
        <v>2524</v>
      </c>
      <c r="D1" s="1620"/>
      <c r="E1" s="1629"/>
      <c r="F1" s="2584"/>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IF(C2="——",ROUND(C37*D3/10000,0),ROUND(C37*D3/10000,0)-D2)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490" t="s">
        <v>2640</v>
      </c>
      <c r="D4" s="3491"/>
      <c r="E4" s="3492" t="s">
        <v>2641</v>
      </c>
      <c r="F4" s="3493"/>
      <c r="G4" s="3490" t="s">
        <v>2642</v>
      </c>
      <c r="H4" s="3491"/>
      <c r="I4" s="3490" t="s">
        <v>2643</v>
      </c>
      <c r="J4" s="3491"/>
      <c r="K4" s="610" t="s">
        <v>2644</v>
      </c>
      <c r="L4" s="1130"/>
      <c r="M4" s="1131"/>
      <c r="N4" s="1131"/>
      <c r="O4" s="1131"/>
      <c r="P4" s="3494" t="s">
        <v>2645</v>
      </c>
      <c r="Q4" s="3495"/>
      <c r="R4" s="3477" t="s">
        <v>2641</v>
      </c>
      <c r="S4" s="3478"/>
      <c r="T4" s="3477" t="s">
        <v>2642</v>
      </c>
      <c r="U4" s="3478"/>
      <c r="V4" s="3502" t="s">
        <v>2643</v>
      </c>
      <c r="W4" s="3502"/>
      <c r="X4" s="1812"/>
      <c r="Y4" s="3477" t="s">
        <v>2645</v>
      </c>
      <c r="Z4" s="3478"/>
      <c r="AA4" s="3472" t="s">
        <v>2641</v>
      </c>
      <c r="AB4" s="3473" t="s">
        <v>2642</v>
      </c>
      <c r="AC4" s="3472" t="s">
        <v>2643</v>
      </c>
    </row>
    <row r="5" spans="1:29">
      <c r="A5" s="404"/>
      <c r="B5" s="405"/>
      <c r="C5" s="3483" t="s">
        <v>2536</v>
      </c>
      <c r="D5" s="3484"/>
      <c r="E5" s="3481" t="s">
        <v>2537</v>
      </c>
      <c r="F5" s="3482"/>
      <c r="G5" s="3483" t="s">
        <v>2538</v>
      </c>
      <c r="H5" s="3484"/>
      <c r="I5" s="3483" t="s">
        <v>2539</v>
      </c>
      <c r="J5" s="3484"/>
      <c r="K5" s="610"/>
      <c r="L5" s="1130"/>
      <c r="M5" s="1131"/>
      <c r="N5" s="1131"/>
      <c r="O5" s="1131"/>
      <c r="P5" s="3496"/>
      <c r="Q5" s="3497"/>
      <c r="R5" s="3479"/>
      <c r="S5" s="3480"/>
      <c r="T5" s="3479"/>
      <c r="U5" s="3480"/>
      <c r="V5" s="3502"/>
      <c r="W5" s="3502"/>
      <c r="X5" s="1812"/>
      <c r="Y5" s="3479"/>
      <c r="Z5" s="3480"/>
      <c r="AA5" s="3473"/>
      <c r="AB5" s="3473"/>
      <c r="AC5" s="3473"/>
    </row>
    <row r="6" spans="1:29" ht="16" thickBot="1">
      <c r="A6" s="406"/>
      <c r="B6" s="407"/>
      <c r="C6" s="3485" t="s">
        <v>2540</v>
      </c>
      <c r="D6" s="3486"/>
      <c r="E6" s="3487" t="s">
        <v>2540</v>
      </c>
      <c r="F6" s="3488"/>
      <c r="G6" s="3485" t="s">
        <v>2540</v>
      </c>
      <c r="H6" s="3486"/>
      <c r="I6" s="3485" t="s">
        <v>2540</v>
      </c>
      <c r="J6" s="3486"/>
      <c r="K6" s="610" t="s">
        <v>2541</v>
      </c>
      <c r="L6" s="1130"/>
      <c r="M6" s="1131"/>
      <c r="N6" s="1131"/>
      <c r="O6" s="1131"/>
      <c r="P6" s="3498"/>
      <c r="Q6" s="3499"/>
      <c r="R6" s="3479"/>
      <c r="S6" s="3480"/>
      <c r="T6" s="3500"/>
      <c r="U6" s="3501"/>
      <c r="V6" s="3502"/>
      <c r="W6" s="3502"/>
      <c r="X6" s="1812"/>
      <c r="Y6" s="3500"/>
      <c r="Z6" s="3501"/>
      <c r="AA6" s="3474"/>
      <c r="AB6" s="3474"/>
      <c r="AC6" s="3474"/>
    </row>
    <row r="7" spans="1:29" s="117" customFormat="1" ht="16" thickBot="1">
      <c r="A7" s="408" t="s">
        <v>2542</v>
      </c>
      <c r="B7" s="409"/>
      <c r="C7" s="410">
        <f>'数据-取费表'!B2</f>
        <v>43905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475" t="s">
        <v>2543</v>
      </c>
      <c r="Q7" s="3503"/>
      <c r="R7" s="770" t="s">
        <v>17</v>
      </c>
      <c r="S7" s="771">
        <f t="shared" ref="S7:S14" si="0">F7</f>
        <v>0</v>
      </c>
      <c r="T7" s="770" t="s">
        <v>17</v>
      </c>
      <c r="U7" s="771">
        <f t="shared" ref="U7:U14" si="1">H7</f>
        <v>0</v>
      </c>
      <c r="V7" s="770" t="s">
        <v>17</v>
      </c>
      <c r="W7" s="771">
        <f t="shared" ref="W7:W14" si="2">J7</f>
        <v>0</v>
      </c>
      <c r="X7" s="772"/>
      <c r="Y7" s="3475" t="s">
        <v>2543</v>
      </c>
      <c r="Z7" s="3476"/>
      <c r="AA7" s="773" t="e">
        <f>D7/F7</f>
        <v>#DIV/0!</v>
      </c>
      <c r="AB7" s="773" t="e">
        <f>D7/H7</f>
        <v>#DIV/0!</v>
      </c>
      <c r="AC7" s="773" t="e">
        <f>D7/J7</f>
        <v>#DIV/0!</v>
      </c>
    </row>
    <row r="8" spans="1:29" s="117" customFormat="1" ht="16"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475" t="s">
        <v>2546</v>
      </c>
      <c r="Q8" s="3476"/>
      <c r="R8" s="770" t="s">
        <v>17</v>
      </c>
      <c r="S8" s="771">
        <f t="shared" si="0"/>
        <v>0</v>
      </c>
      <c r="T8" s="770" t="s">
        <v>17</v>
      </c>
      <c r="U8" s="771">
        <f t="shared" si="1"/>
        <v>0</v>
      </c>
      <c r="V8" s="770" t="s">
        <v>17</v>
      </c>
      <c r="W8" s="771">
        <f t="shared" si="2"/>
        <v>0</v>
      </c>
      <c r="X8" s="772"/>
      <c r="Y8" s="3475" t="s">
        <v>2546</v>
      </c>
      <c r="Z8" s="3476"/>
      <c r="AA8" s="773" t="e">
        <f t="shared" ref="AA8:AA34" si="3">D8/F8</f>
        <v>#DIV/0!</v>
      </c>
      <c r="AB8" s="773" t="e">
        <f t="shared" ref="AB8:AB34" si="4">D8/H8</f>
        <v>#DIV/0!</v>
      </c>
      <c r="AC8" s="773" t="e">
        <f t="shared" ref="AC8:AC34" si="5">D8/J8</f>
        <v>#DIV/0!</v>
      </c>
    </row>
    <row r="9" spans="1:29" s="117" customFormat="1" ht="15">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489" t="s">
        <v>2549</v>
      </c>
      <c r="Q9" s="1794" t="str">
        <f t="shared" ref="Q9:Q14" si="6">B9</f>
        <v>用途</v>
      </c>
      <c r="R9" s="770" t="s">
        <v>17</v>
      </c>
      <c r="S9" s="771">
        <f t="shared" si="0"/>
        <v>100</v>
      </c>
      <c r="T9" s="770" t="s">
        <v>17</v>
      </c>
      <c r="U9" s="771">
        <f t="shared" si="1"/>
        <v>100</v>
      </c>
      <c r="V9" s="770" t="s">
        <v>17</v>
      </c>
      <c r="W9" s="771">
        <f t="shared" si="2"/>
        <v>100</v>
      </c>
      <c r="X9" s="772"/>
      <c r="Y9" s="3219" t="s">
        <v>2550</v>
      </c>
      <c r="Z9" s="55" t="str">
        <f t="shared" ref="Z9:Z14" si="7">Q9</f>
        <v>用途</v>
      </c>
      <c r="AA9" s="773">
        <f t="shared" si="3"/>
        <v>1</v>
      </c>
      <c r="AB9" s="773">
        <f t="shared" si="4"/>
        <v>1</v>
      </c>
      <c r="AC9" s="773">
        <f t="shared" si="5"/>
        <v>1</v>
      </c>
    </row>
    <row r="10" spans="1:29" s="427" customFormat="1" ht="30">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489"/>
      <c r="Q10" s="1794" t="str">
        <f t="shared" si="6"/>
        <v>土地使用年限（年）</v>
      </c>
      <c r="R10" s="770" t="s">
        <v>17</v>
      </c>
      <c r="S10" s="771">
        <f t="shared" si="0"/>
        <v>100</v>
      </c>
      <c r="T10" s="770" t="s">
        <v>17</v>
      </c>
      <c r="U10" s="771">
        <f t="shared" si="1"/>
        <v>100</v>
      </c>
      <c r="V10" s="770" t="s">
        <v>17</v>
      </c>
      <c r="W10" s="771">
        <f t="shared" si="2"/>
        <v>100</v>
      </c>
      <c r="X10" s="772"/>
      <c r="Y10" s="3219"/>
      <c r="Z10" s="55" t="str">
        <f t="shared" si="7"/>
        <v>土地使用年限（年）</v>
      </c>
      <c r="AA10" s="773">
        <f t="shared" si="3"/>
        <v>1</v>
      </c>
      <c r="AB10" s="773">
        <f t="shared" si="4"/>
        <v>1</v>
      </c>
      <c r="AC10" s="773">
        <f t="shared" si="5"/>
        <v>1</v>
      </c>
    </row>
    <row r="11" spans="1:29" ht="16">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489"/>
      <c r="Q11" s="1794">
        <f t="shared" si="6"/>
        <v>111</v>
      </c>
      <c r="R11" s="770" t="s">
        <v>17</v>
      </c>
      <c r="S11" s="771">
        <f t="shared" si="0"/>
        <v>100</v>
      </c>
      <c r="T11" s="770" t="s">
        <v>17</v>
      </c>
      <c r="U11" s="771">
        <f t="shared" si="1"/>
        <v>100</v>
      </c>
      <c r="V11" s="770" t="s">
        <v>17</v>
      </c>
      <c r="W11" s="771">
        <f t="shared" si="2"/>
        <v>100</v>
      </c>
      <c r="X11" s="772"/>
      <c r="Y11" s="3219"/>
      <c r="Z11" s="55">
        <f t="shared" si="7"/>
        <v>111</v>
      </c>
      <c r="AA11" s="773">
        <f t="shared" si="3"/>
        <v>1</v>
      </c>
      <c r="AB11" s="773">
        <f t="shared" si="4"/>
        <v>1</v>
      </c>
      <c r="AC11" s="773">
        <f t="shared" si="5"/>
        <v>1</v>
      </c>
    </row>
    <row r="12" spans="1:29" s="117" customFormat="1" ht="16">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489"/>
      <c r="Q12" s="1794">
        <f t="shared" si="6"/>
        <v>111</v>
      </c>
      <c r="R12" s="770" t="s">
        <v>17</v>
      </c>
      <c r="S12" s="771">
        <f t="shared" si="0"/>
        <v>100</v>
      </c>
      <c r="T12" s="770" t="s">
        <v>17</v>
      </c>
      <c r="U12" s="771">
        <f t="shared" si="1"/>
        <v>100</v>
      </c>
      <c r="V12" s="770" t="s">
        <v>17</v>
      </c>
      <c r="W12" s="771">
        <f t="shared" si="2"/>
        <v>100</v>
      </c>
      <c r="X12" s="772"/>
      <c r="Y12" s="3219"/>
      <c r="Z12" s="55">
        <f t="shared" si="7"/>
        <v>111</v>
      </c>
      <c r="AA12" s="773">
        <f>D12/F12</f>
        <v>1</v>
      </c>
      <c r="AB12" s="773">
        <f>D12/H12</f>
        <v>1</v>
      </c>
      <c r="AC12" s="773">
        <f>D12/J12</f>
        <v>1</v>
      </c>
    </row>
    <row r="13" spans="1:29" ht="17"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489"/>
      <c r="Q13" s="1794">
        <f t="shared" si="6"/>
        <v>111</v>
      </c>
      <c r="R13" s="770" t="s">
        <v>17</v>
      </c>
      <c r="S13" s="771">
        <f t="shared" si="0"/>
        <v>100</v>
      </c>
      <c r="T13" s="770" t="s">
        <v>17</v>
      </c>
      <c r="U13" s="771">
        <f t="shared" si="1"/>
        <v>100</v>
      </c>
      <c r="V13" s="770" t="s">
        <v>17</v>
      </c>
      <c r="W13" s="771">
        <f t="shared" si="2"/>
        <v>100</v>
      </c>
      <c r="X13" s="772"/>
      <c r="Y13" s="3219"/>
      <c r="Z13" s="55">
        <f t="shared" si="7"/>
        <v>111</v>
      </c>
      <c r="AA13" s="773">
        <f t="shared" si="3"/>
        <v>1</v>
      </c>
      <c r="AB13" s="773">
        <f t="shared" si="4"/>
        <v>1</v>
      </c>
      <c r="AC13" s="773">
        <f t="shared" si="5"/>
        <v>1</v>
      </c>
    </row>
    <row r="14" spans="1:29" ht="90">
      <c r="A14" s="440" t="s">
        <v>2553</v>
      </c>
      <c r="B14" s="69" t="s">
        <v>2703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504" t="s">
        <v>2554</v>
      </c>
      <c r="Q14" s="1809" t="str">
        <f t="shared" si="6"/>
        <v>交通便捷度</v>
      </c>
      <c r="R14" s="774" t="s">
        <v>17</v>
      </c>
      <c r="S14" s="775">
        <f t="shared" si="0"/>
        <v>100</v>
      </c>
      <c r="T14" s="774" t="s">
        <v>17</v>
      </c>
      <c r="U14" s="775">
        <f t="shared" si="1"/>
        <v>100</v>
      </c>
      <c r="V14" s="774" t="s">
        <v>17</v>
      </c>
      <c r="W14" s="775">
        <f t="shared" si="2"/>
        <v>100</v>
      </c>
      <c r="X14" s="1812"/>
      <c r="Y14" s="3504" t="s">
        <v>2554</v>
      </c>
      <c r="Z14" s="1813" t="str">
        <f t="shared" si="7"/>
        <v>交通便捷度</v>
      </c>
      <c r="AA14" s="1810">
        <f t="shared" si="3"/>
        <v>1</v>
      </c>
      <c r="AB14" s="1810">
        <f t="shared" si="4"/>
        <v>1</v>
      </c>
      <c r="AC14" s="1810">
        <f t="shared" si="5"/>
        <v>1</v>
      </c>
    </row>
    <row r="15" spans="1:29" ht="16">
      <c r="A15" s="428"/>
      <c r="B15" s="446"/>
      <c r="C15" s="447"/>
      <c r="D15" s="448"/>
      <c r="E15" s="447"/>
      <c r="F15" s="449"/>
      <c r="G15" s="447"/>
      <c r="H15" s="450"/>
      <c r="I15" s="447"/>
      <c r="J15" s="448"/>
      <c r="K15" s="615"/>
      <c r="L15" s="1140"/>
      <c r="M15" s="1131"/>
      <c r="N15" s="1131"/>
      <c r="O15" s="1139"/>
      <c r="P15" s="3505"/>
      <c r="Q15" s="1809"/>
      <c r="R15" s="774"/>
      <c r="S15" s="775"/>
      <c r="T15" s="774"/>
      <c r="U15" s="775"/>
      <c r="V15" s="774"/>
      <c r="W15" s="775"/>
      <c r="X15" s="1812"/>
      <c r="Y15" s="3505"/>
      <c r="Z15" s="1813"/>
      <c r="AA15" s="1810">
        <v>1</v>
      </c>
      <c r="AB15" s="1810">
        <v>1</v>
      </c>
      <c r="AC15" s="1810">
        <v>1</v>
      </c>
    </row>
    <row r="16" spans="1:29" ht="45">
      <c r="A16" s="428"/>
      <c r="B16" s="451" t="s">
        <v>2682</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505"/>
      <c r="Q16" s="1809" t="str">
        <f>B16</f>
        <v>公共配套设施</v>
      </c>
      <c r="R16" s="774" t="s">
        <v>17</v>
      </c>
      <c r="S16" s="775">
        <f>F16</f>
        <v>100</v>
      </c>
      <c r="T16" s="774" t="s">
        <v>17</v>
      </c>
      <c r="U16" s="775">
        <f>H16</f>
        <v>100</v>
      </c>
      <c r="V16" s="774" t="s">
        <v>17</v>
      </c>
      <c r="W16" s="775">
        <f>J16</f>
        <v>100</v>
      </c>
      <c r="X16" s="1812"/>
      <c r="Y16" s="3505"/>
      <c r="Z16" s="1813" t="str">
        <f>Q16</f>
        <v>公共配套设施</v>
      </c>
      <c r="AA16" s="1810">
        <f t="shared" si="3"/>
        <v>1</v>
      </c>
      <c r="AB16" s="1810">
        <f t="shared" si="4"/>
        <v>1</v>
      </c>
      <c r="AC16" s="1810">
        <f t="shared" si="5"/>
        <v>1</v>
      </c>
    </row>
    <row r="17" spans="1:29" ht="16">
      <c r="A17" s="428"/>
      <c r="B17" s="456"/>
      <c r="C17" s="2608"/>
      <c r="D17" s="448"/>
      <c r="E17" s="447"/>
      <c r="F17" s="449"/>
      <c r="G17" s="447"/>
      <c r="H17" s="448"/>
      <c r="I17" s="447"/>
      <c r="J17" s="448"/>
      <c r="K17" s="615"/>
      <c r="L17" s="1140"/>
      <c r="M17" s="1131"/>
      <c r="N17" s="1131"/>
      <c r="O17" s="1139"/>
      <c r="P17" s="3505"/>
      <c r="Q17" s="1809"/>
      <c r="R17" s="774"/>
      <c r="S17" s="775"/>
      <c r="T17" s="774"/>
      <c r="U17" s="775"/>
      <c r="V17" s="774"/>
      <c r="W17" s="775"/>
      <c r="X17" s="1812"/>
      <c r="Y17" s="3505"/>
      <c r="Z17" s="1813"/>
      <c r="AA17" s="1810">
        <v>1</v>
      </c>
      <c r="AB17" s="1810">
        <v>1</v>
      </c>
      <c r="AC17" s="1810">
        <v>1</v>
      </c>
    </row>
    <row r="18" spans="1:29" ht="30">
      <c r="A18" s="428"/>
      <c r="B18" s="1384" t="s">
        <v>2683</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505"/>
      <c r="Q18" s="1809" t="str">
        <f>B18</f>
        <v>基础设施水平</v>
      </c>
      <c r="R18" s="774" t="s">
        <v>17</v>
      </c>
      <c r="S18" s="775">
        <f>F18</f>
        <v>100</v>
      </c>
      <c r="T18" s="774" t="s">
        <v>17</v>
      </c>
      <c r="U18" s="775">
        <f>H18</f>
        <v>100</v>
      </c>
      <c r="V18" s="774" t="s">
        <v>17</v>
      </c>
      <c r="W18" s="775">
        <f>J18</f>
        <v>100</v>
      </c>
      <c r="X18" s="1812"/>
      <c r="Y18" s="3505"/>
      <c r="Z18" s="1813" t="str">
        <f>Q18</f>
        <v>基础设施水平</v>
      </c>
      <c r="AA18" s="1810">
        <f t="shared" ref="AA18" si="8">D18/F18</f>
        <v>1</v>
      </c>
      <c r="AB18" s="1810">
        <f t="shared" ref="AB18" si="9">D18/H18</f>
        <v>1</v>
      </c>
      <c r="AC18" s="1810">
        <f t="shared" ref="AC18" si="10">D18/J18</f>
        <v>1</v>
      </c>
    </row>
    <row r="19" spans="1:29" ht="16">
      <c r="A19" s="428"/>
      <c r="B19" s="1384"/>
      <c r="C19" s="2608"/>
      <c r="D19" s="450"/>
      <c r="E19" s="2608"/>
      <c r="F19" s="453"/>
      <c r="G19" s="2608"/>
      <c r="H19" s="448"/>
      <c r="I19" s="447"/>
      <c r="J19" s="448"/>
      <c r="K19" s="1383"/>
      <c r="L19" s="1140"/>
      <c r="M19" s="1131"/>
      <c r="N19" s="1131"/>
      <c r="O19" s="1139"/>
      <c r="P19" s="3505"/>
      <c r="Q19" s="1809"/>
      <c r="R19" s="774"/>
      <c r="S19" s="775"/>
      <c r="T19" s="774"/>
      <c r="U19" s="775"/>
      <c r="V19" s="774"/>
      <c r="W19" s="775"/>
      <c r="X19" s="1812"/>
      <c r="Y19" s="3505"/>
      <c r="Z19" s="1813"/>
      <c r="AA19" s="1810">
        <v>1</v>
      </c>
      <c r="AB19" s="1810">
        <v>1</v>
      </c>
      <c r="AC19" s="1810">
        <v>1</v>
      </c>
    </row>
    <row r="20" spans="1:29" ht="60">
      <c r="A20" s="428"/>
      <c r="B20" s="451" t="s">
        <v>2704</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505"/>
      <c r="Q20" s="1809" t="str">
        <f>B20</f>
        <v>自然及人文环境</v>
      </c>
      <c r="R20" s="774" t="s">
        <v>17</v>
      </c>
      <c r="S20" s="775">
        <f>F20</f>
        <v>100</v>
      </c>
      <c r="T20" s="774" t="s">
        <v>17</v>
      </c>
      <c r="U20" s="775">
        <f>H20</f>
        <v>100</v>
      </c>
      <c r="V20" s="774" t="s">
        <v>17</v>
      </c>
      <c r="W20" s="775">
        <f>J20</f>
        <v>100</v>
      </c>
      <c r="X20" s="1812"/>
      <c r="Y20" s="3505"/>
      <c r="Z20" s="1813" t="str">
        <f>Q20</f>
        <v>自然及人文环境</v>
      </c>
      <c r="AA20" s="1810">
        <f t="shared" si="3"/>
        <v>1</v>
      </c>
      <c r="AB20" s="1810">
        <f t="shared" si="4"/>
        <v>1</v>
      </c>
      <c r="AC20" s="1810">
        <f t="shared" si="5"/>
        <v>1</v>
      </c>
    </row>
    <row r="21" spans="1:29" ht="16">
      <c r="A21" s="428"/>
      <c r="B21" s="456"/>
      <c r="C21" s="447"/>
      <c r="D21" s="448"/>
      <c r="E21" s="447"/>
      <c r="F21" s="449"/>
      <c r="G21" s="447"/>
      <c r="H21" s="448"/>
      <c r="I21" s="447"/>
      <c r="J21" s="448"/>
      <c r="K21" s="615"/>
      <c r="L21" s="1140"/>
      <c r="M21" s="1131"/>
      <c r="N21" s="1131"/>
      <c r="O21" s="1139"/>
      <c r="P21" s="3505"/>
      <c r="Q21" s="1809"/>
      <c r="R21" s="774"/>
      <c r="S21" s="775"/>
      <c r="T21" s="774"/>
      <c r="U21" s="775"/>
      <c r="V21" s="774"/>
      <c r="W21" s="775"/>
      <c r="X21" s="1812"/>
      <c r="Y21" s="3505"/>
      <c r="Z21" s="1813"/>
      <c r="AA21" s="1810">
        <v>1</v>
      </c>
      <c r="AB21" s="1810">
        <v>1</v>
      </c>
      <c r="AC21" s="1810">
        <v>1</v>
      </c>
    </row>
    <row r="22" spans="1:29" ht="16">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505"/>
      <c r="Q22" s="1809" t="str">
        <f>B22</f>
        <v>楼层</v>
      </c>
      <c r="R22" s="774" t="s">
        <v>17</v>
      </c>
      <c r="S22" s="775">
        <f>F22</f>
        <v>100</v>
      </c>
      <c r="T22" s="774" t="s">
        <v>17</v>
      </c>
      <c r="U22" s="775">
        <f>H22</f>
        <v>100</v>
      </c>
      <c r="V22" s="774" t="s">
        <v>17</v>
      </c>
      <c r="W22" s="775">
        <f>J22</f>
        <v>100</v>
      </c>
      <c r="X22" s="1812"/>
      <c r="Y22" s="3505"/>
      <c r="Z22" s="1813" t="str">
        <f>Q22</f>
        <v>楼层</v>
      </c>
      <c r="AA22" s="1810">
        <f t="shared" si="3"/>
        <v>1</v>
      </c>
      <c r="AB22" s="1810">
        <f t="shared" si="4"/>
        <v>1</v>
      </c>
      <c r="AC22" s="1810">
        <f t="shared" si="5"/>
        <v>1</v>
      </c>
    </row>
    <row r="23" spans="1:29" ht="16">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505"/>
      <c r="Q23" s="1809">
        <f>B23</f>
        <v>111</v>
      </c>
      <c r="R23" s="774" t="s">
        <v>17</v>
      </c>
      <c r="S23" s="775">
        <f>F23</f>
        <v>100</v>
      </c>
      <c r="T23" s="774" t="s">
        <v>17</v>
      </c>
      <c r="U23" s="775">
        <f>H23</f>
        <v>100</v>
      </c>
      <c r="V23" s="774" t="s">
        <v>17</v>
      </c>
      <c r="W23" s="775">
        <f>J23</f>
        <v>100</v>
      </c>
      <c r="X23" s="1812"/>
      <c r="Y23" s="3505"/>
      <c r="Z23" s="1813">
        <f>Q23</f>
        <v>111</v>
      </c>
      <c r="AA23" s="1810">
        <f t="shared" si="3"/>
        <v>1</v>
      </c>
      <c r="AB23" s="1810">
        <f t="shared" si="4"/>
        <v>1</v>
      </c>
      <c r="AC23" s="1810">
        <f t="shared" si="5"/>
        <v>1</v>
      </c>
    </row>
    <row r="24" spans="1:29" ht="16">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505"/>
      <c r="Q24" s="1809">
        <f t="shared" ref="Q24:Q34" si="11">B24</f>
        <v>111</v>
      </c>
      <c r="R24" s="774" t="s">
        <v>17</v>
      </c>
      <c r="S24" s="775">
        <f>F24</f>
        <v>100</v>
      </c>
      <c r="T24" s="774" t="s">
        <v>17</v>
      </c>
      <c r="U24" s="775">
        <f>H24</f>
        <v>100</v>
      </c>
      <c r="V24" s="774" t="s">
        <v>17</v>
      </c>
      <c r="W24" s="775">
        <f>J24</f>
        <v>100</v>
      </c>
      <c r="X24" s="1812"/>
      <c r="Y24" s="3505"/>
      <c r="Z24" s="1813">
        <f>Q24</f>
        <v>111</v>
      </c>
      <c r="AA24" s="1810">
        <f t="shared" si="3"/>
        <v>1</v>
      </c>
      <c r="AB24" s="1810">
        <f t="shared" si="4"/>
        <v>1</v>
      </c>
      <c r="AC24" s="1810">
        <f t="shared" si="5"/>
        <v>1</v>
      </c>
    </row>
    <row r="25" spans="1:29" s="117" customFormat="1" ht="17"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505"/>
      <c r="Q25" s="1794">
        <f t="shared" si="11"/>
        <v>111</v>
      </c>
      <c r="R25" s="770" t="s">
        <v>17</v>
      </c>
      <c r="S25" s="771">
        <f>F25</f>
        <v>100</v>
      </c>
      <c r="T25" s="770" t="s">
        <v>17</v>
      </c>
      <c r="U25" s="771">
        <f>H25</f>
        <v>100</v>
      </c>
      <c r="V25" s="770" t="s">
        <v>17</v>
      </c>
      <c r="W25" s="771">
        <f>J25</f>
        <v>100</v>
      </c>
      <c r="X25" s="772"/>
      <c r="Y25" s="3505"/>
      <c r="Z25" s="55">
        <f>Q25</f>
        <v>111</v>
      </c>
      <c r="AA25" s="1810">
        <f>D25/F25</f>
        <v>1</v>
      </c>
      <c r="AB25" s="1810">
        <f>D25/H25</f>
        <v>1</v>
      </c>
      <c r="AC25" s="1810">
        <f>D25/J25</f>
        <v>1</v>
      </c>
    </row>
    <row r="26" spans="1:29" ht="20">
      <c r="A26" s="466" t="s">
        <v>2557</v>
      </c>
      <c r="B26" s="71" t="s">
        <v>2708</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506" t="s">
        <v>2559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507" t="s">
        <v>2559</v>
      </c>
      <c r="Z26" s="1813" t="str">
        <f t="shared" ref="Z26:Z34" si="15">Q26</f>
        <v>公共部分装修</v>
      </c>
      <c r="AA26" s="1810">
        <f t="shared" si="3"/>
        <v>1</v>
      </c>
      <c r="AB26" s="1810">
        <f t="shared" si="4"/>
        <v>1</v>
      </c>
      <c r="AC26" s="1810">
        <f t="shared" si="5"/>
        <v>1</v>
      </c>
    </row>
    <row r="27" spans="1:29" s="471" customFormat="1" ht="16">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507"/>
      <c r="Q27" s="776" t="str">
        <f t="shared" si="11"/>
        <v>成新率</v>
      </c>
      <c r="R27" s="777" t="s">
        <v>17</v>
      </c>
      <c r="S27" s="778" t="e">
        <f t="shared" si="12"/>
        <v>#N/A</v>
      </c>
      <c r="T27" s="777" t="s">
        <v>17</v>
      </c>
      <c r="U27" s="778" t="e">
        <f t="shared" si="13"/>
        <v>#N/A</v>
      </c>
      <c r="V27" s="777" t="s">
        <v>17</v>
      </c>
      <c r="W27" s="778" t="e">
        <f t="shared" si="14"/>
        <v>#N/A</v>
      </c>
      <c r="X27" s="779"/>
      <c r="Y27" s="3507"/>
      <c r="Z27" s="780" t="str">
        <f t="shared" si="15"/>
        <v>成新率</v>
      </c>
      <c r="AA27" s="1810" t="e">
        <f t="shared" si="3"/>
        <v>#N/A</v>
      </c>
      <c r="AB27" s="1810" t="e">
        <f t="shared" si="4"/>
        <v>#N/A</v>
      </c>
      <c r="AC27" s="1810" t="e">
        <f t="shared" si="5"/>
        <v>#N/A</v>
      </c>
    </row>
    <row r="28" spans="1:29" ht="16">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507"/>
      <c r="Q28" s="1809" t="str">
        <f t="shared" si="11"/>
        <v>物业等级</v>
      </c>
      <c r="R28" s="774" t="s">
        <v>17</v>
      </c>
      <c r="S28" s="775">
        <f t="shared" si="12"/>
        <v>100</v>
      </c>
      <c r="T28" s="774" t="s">
        <v>17</v>
      </c>
      <c r="U28" s="775">
        <f t="shared" si="13"/>
        <v>100</v>
      </c>
      <c r="V28" s="774" t="s">
        <v>17</v>
      </c>
      <c r="W28" s="775">
        <f t="shared" si="14"/>
        <v>100</v>
      </c>
      <c r="X28" s="1812"/>
      <c r="Y28" s="3507"/>
      <c r="Z28" s="1813" t="str">
        <f t="shared" si="15"/>
        <v>物业等级</v>
      </c>
      <c r="AA28" s="1810">
        <f t="shared" si="3"/>
        <v>1</v>
      </c>
      <c r="AB28" s="1810">
        <f t="shared" si="4"/>
        <v>1</v>
      </c>
      <c r="AC28" s="1810">
        <f t="shared" si="5"/>
        <v>1</v>
      </c>
    </row>
    <row r="29" spans="1:29" ht="16">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507"/>
      <c r="Q29" s="1809" t="str">
        <f t="shared" si="11"/>
        <v>有无电梯</v>
      </c>
      <c r="R29" s="774" t="s">
        <v>17</v>
      </c>
      <c r="S29" s="775">
        <f t="shared" si="12"/>
        <v>100</v>
      </c>
      <c r="T29" s="774" t="s">
        <v>17</v>
      </c>
      <c r="U29" s="775">
        <f t="shared" si="13"/>
        <v>100</v>
      </c>
      <c r="V29" s="774" t="s">
        <v>17</v>
      </c>
      <c r="W29" s="775">
        <f t="shared" si="14"/>
        <v>100</v>
      </c>
      <c r="X29" s="1812"/>
      <c r="Y29" s="3507"/>
      <c r="Z29" s="1813" t="str">
        <f t="shared" si="15"/>
        <v>有无电梯</v>
      </c>
      <c r="AA29" s="1810">
        <f t="shared" si="3"/>
        <v>1</v>
      </c>
      <c r="AB29" s="1810">
        <f t="shared" si="4"/>
        <v>1</v>
      </c>
      <c r="AC29" s="1810">
        <f t="shared" si="5"/>
        <v>1</v>
      </c>
    </row>
    <row r="30" spans="1:29" ht="16">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507"/>
      <c r="Q30" s="1809" t="str">
        <f t="shared" si="11"/>
        <v>建筑面积</v>
      </c>
      <c r="R30" s="774" t="s">
        <v>17</v>
      </c>
      <c r="S30" s="775" t="e">
        <f t="shared" si="12"/>
        <v>#N/A</v>
      </c>
      <c r="T30" s="774" t="s">
        <v>17</v>
      </c>
      <c r="U30" s="775" t="e">
        <f t="shared" si="13"/>
        <v>#N/A</v>
      </c>
      <c r="V30" s="774" t="s">
        <v>17</v>
      </c>
      <c r="W30" s="775" t="e">
        <f t="shared" si="14"/>
        <v>#N/A</v>
      </c>
      <c r="X30" s="1812"/>
      <c r="Y30" s="3507"/>
      <c r="Z30" s="1813" t="str">
        <f t="shared" si="15"/>
        <v>建筑面积</v>
      </c>
      <c r="AA30" s="1810" t="e">
        <f t="shared" si="3"/>
        <v>#N/A</v>
      </c>
      <c r="AB30" s="1810" t="e">
        <f t="shared" si="4"/>
        <v>#N/A</v>
      </c>
      <c r="AC30" s="1810" t="e">
        <f t="shared" si="5"/>
        <v>#N/A</v>
      </c>
    </row>
    <row r="31" spans="1:29" s="117" customFormat="1" ht="16">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507"/>
      <c r="Q31" s="1794" t="str">
        <f t="shared" si="11"/>
        <v>是否封闭</v>
      </c>
      <c r="R31" s="770" t="s">
        <v>17</v>
      </c>
      <c r="S31" s="771">
        <f t="shared" si="12"/>
        <v>100</v>
      </c>
      <c r="T31" s="770" t="s">
        <v>17</v>
      </c>
      <c r="U31" s="771">
        <f t="shared" si="13"/>
        <v>100</v>
      </c>
      <c r="V31" s="770" t="s">
        <v>17</v>
      </c>
      <c r="W31" s="771">
        <f t="shared" si="14"/>
        <v>100</v>
      </c>
      <c r="X31" s="772"/>
      <c r="Y31" s="3507"/>
      <c r="Z31" s="55" t="str">
        <f t="shared" si="15"/>
        <v>是否封闭</v>
      </c>
      <c r="AA31" s="773">
        <f t="shared" si="3"/>
        <v>1</v>
      </c>
      <c r="AB31" s="773">
        <f t="shared" si="4"/>
        <v>1</v>
      </c>
      <c r="AC31" s="773">
        <f t="shared" si="5"/>
        <v>1</v>
      </c>
    </row>
    <row r="32" spans="1:29" ht="16">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507" t="s">
        <v>2559</v>
      </c>
      <c r="Q32" s="1809">
        <f t="shared" si="11"/>
        <v>111</v>
      </c>
      <c r="R32" s="774" t="s">
        <v>17</v>
      </c>
      <c r="S32" s="775">
        <f t="shared" si="12"/>
        <v>100</v>
      </c>
      <c r="T32" s="774" t="s">
        <v>17</v>
      </c>
      <c r="U32" s="775">
        <f t="shared" si="13"/>
        <v>100</v>
      </c>
      <c r="V32" s="774" t="s">
        <v>17</v>
      </c>
      <c r="W32" s="775">
        <f t="shared" si="14"/>
        <v>100</v>
      </c>
      <c r="X32" s="1812"/>
      <c r="Y32" s="3507" t="s">
        <v>2559</v>
      </c>
      <c r="Z32" s="1813">
        <f t="shared" si="15"/>
        <v>111</v>
      </c>
      <c r="AA32" s="1810">
        <f t="shared" si="3"/>
        <v>1</v>
      </c>
      <c r="AB32" s="1810">
        <f t="shared" si="4"/>
        <v>1</v>
      </c>
      <c r="AC32" s="1810">
        <f t="shared" si="5"/>
        <v>1</v>
      </c>
    </row>
    <row r="33" spans="1:29" ht="16">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507"/>
      <c r="Q33" s="1809">
        <f t="shared" si="11"/>
        <v>111</v>
      </c>
      <c r="R33" s="774" t="s">
        <v>17</v>
      </c>
      <c r="S33" s="775">
        <f t="shared" si="12"/>
        <v>100</v>
      </c>
      <c r="T33" s="774" t="s">
        <v>17</v>
      </c>
      <c r="U33" s="775">
        <f t="shared" si="13"/>
        <v>100</v>
      </c>
      <c r="V33" s="774" t="s">
        <v>17</v>
      </c>
      <c r="W33" s="775">
        <f t="shared" si="14"/>
        <v>100</v>
      </c>
      <c r="X33" s="1812"/>
      <c r="Y33" s="3507"/>
      <c r="Z33" s="1813">
        <f t="shared" si="15"/>
        <v>111</v>
      </c>
      <c r="AA33" s="1810">
        <f t="shared" si="3"/>
        <v>1</v>
      </c>
      <c r="AB33" s="1810">
        <f t="shared" si="4"/>
        <v>1</v>
      </c>
      <c r="AC33" s="1810">
        <f t="shared" si="5"/>
        <v>1</v>
      </c>
    </row>
    <row r="34" spans="1:29" ht="17"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507"/>
      <c r="Q34" s="1809">
        <f t="shared" si="11"/>
        <v>111</v>
      </c>
      <c r="R34" s="774" t="s">
        <v>17</v>
      </c>
      <c r="S34" s="775">
        <f t="shared" si="12"/>
        <v>100</v>
      </c>
      <c r="T34" s="774" t="s">
        <v>17</v>
      </c>
      <c r="U34" s="775">
        <f t="shared" si="13"/>
        <v>100</v>
      </c>
      <c r="V34" s="774" t="s">
        <v>17</v>
      </c>
      <c r="W34" s="775">
        <f t="shared" si="14"/>
        <v>100</v>
      </c>
      <c r="X34" s="1812"/>
      <c r="Y34" s="3507"/>
      <c r="Z34" s="1813">
        <f t="shared" si="15"/>
        <v>111</v>
      </c>
      <c r="AA34" s="1810">
        <f t="shared" si="3"/>
        <v>1</v>
      </c>
      <c r="AB34" s="1810">
        <f t="shared" si="4"/>
        <v>1</v>
      </c>
      <c r="AC34" s="1810">
        <f t="shared" si="5"/>
        <v>1</v>
      </c>
    </row>
    <row r="35" spans="1:29" ht="15">
      <c r="A35" s="479" t="s">
        <v>2571</v>
      </c>
      <c r="B35" s="480"/>
      <c r="C35" s="1407" t="s">
        <v>1</v>
      </c>
      <c r="D35" s="1408"/>
      <c r="E35" s="1409"/>
      <c r="F35" s="1410"/>
      <c r="G35" s="1411"/>
      <c r="H35" s="1412"/>
      <c r="I35" s="1409"/>
      <c r="J35" s="1412"/>
      <c r="K35" s="783"/>
      <c r="L35" s="1143"/>
      <c r="M35" s="1144"/>
      <c r="N35" s="1131"/>
      <c r="O35" s="1144"/>
      <c r="P35" s="3489" t="str">
        <f>A35</f>
        <v>成交单价（元/平方米）</v>
      </c>
      <c r="Q35" s="3489"/>
      <c r="R35" s="3543">
        <f>E35</f>
        <v>0</v>
      </c>
      <c r="S35" s="3543"/>
      <c r="T35" s="3543">
        <f>G35</f>
        <v>0</v>
      </c>
      <c r="U35" s="3543"/>
      <c r="V35" s="3543">
        <f>I35</f>
        <v>0</v>
      </c>
      <c r="W35" s="3543"/>
      <c r="X35" s="759"/>
      <c r="Y35" s="781"/>
      <c r="Z35" s="759"/>
      <c r="AA35" s="759"/>
      <c r="AB35" s="759"/>
      <c r="AC35" s="759"/>
    </row>
    <row r="36" spans="1:29" ht="1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489" t="str">
        <f>A36</f>
        <v>比较价值（元/平方米）</v>
      </c>
      <c r="Q36" s="3489"/>
      <c r="R36" s="3543" t="e">
        <f>IF(F1="售价",ROUND(PRODUCT(R35,AA7:AA34),0),ROUND(PRODUCT(R35,AA7:AA34),1))</f>
        <v>#DIV/0!</v>
      </c>
      <c r="S36" s="3543"/>
      <c r="T36" s="3543" t="e">
        <f>IF(F1="售价",ROUND(PRODUCT(T35,AB7:AB34),0),ROUND(PRODUCT(T35,AB7:AB34),1))</f>
        <v>#DIV/0!</v>
      </c>
      <c r="U36" s="3543"/>
      <c r="V36" s="3543" t="e">
        <f>IF(F1="售价",ROUND(PRODUCT(V35,AC7:AC34),0),ROUND(PRODUCT(V35,AC7:AC34),1))</f>
        <v>#DIV/0!</v>
      </c>
      <c r="W36" s="3543"/>
      <c r="X36" s="759"/>
      <c r="Y36" s="759"/>
      <c r="Z36" s="759"/>
      <c r="AA36" s="759"/>
      <c r="AB36" s="759"/>
      <c r="AC36" s="759"/>
    </row>
    <row r="37" spans="1:29" ht="15" thickBot="1">
      <c r="A37" s="492" t="s">
        <v>2664</v>
      </c>
      <c r="B37" s="493"/>
      <c r="C37" s="1417" t="e">
        <f>R37</f>
        <v>#DIV/0!</v>
      </c>
      <c r="D37" s="1417"/>
      <c r="E37" s="1417"/>
      <c r="F37" s="1417"/>
      <c r="G37" s="1417"/>
      <c r="H37" s="1417"/>
      <c r="I37" s="1417"/>
      <c r="J37" s="1417"/>
      <c r="K37" s="785"/>
      <c r="L37" s="1143"/>
      <c r="M37" s="1144"/>
      <c r="N37" s="1144"/>
      <c r="O37" s="1144"/>
      <c r="P37" s="3509" t="str">
        <f>A37</f>
        <v>估价对象XX用房的比较价值（楼面单价，元/平方米）</v>
      </c>
      <c r="Q37" s="3510"/>
      <c r="R37" s="3542" t="e">
        <f>IF(F1="售价",ROUND(AVERAGE(R36:V36),0),ROUND(AVERAGE(R36:V36),1))</f>
        <v>#DIV/0!</v>
      </c>
      <c r="S37" s="3542"/>
      <c r="T37" s="3542"/>
      <c r="U37" s="3542"/>
      <c r="V37" s="3542"/>
      <c r="W37" s="354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 thickBot="1">
      <c r="A50" s="521"/>
      <c r="B50" s="510"/>
      <c r="C50" s="639">
        <v>100</v>
      </c>
      <c r="D50" s="512"/>
      <c r="E50" s="512"/>
      <c r="F50" s="512"/>
      <c r="G50" s="512"/>
      <c r="H50" s="512"/>
      <c r="I50" s="512"/>
      <c r="J50" s="512"/>
      <c r="K50" s="512"/>
      <c r="L50" s="512"/>
      <c r="M50" s="514"/>
      <c r="N50" s="1151"/>
      <c r="O50" s="1151"/>
      <c r="P50" s="504"/>
      <c r="Q50" s="504"/>
    </row>
    <row r="51" spans="1:17" ht="15">
      <c r="A51" s="527" t="s">
        <v>2582</v>
      </c>
      <c r="B51" s="528" t="s">
        <v>2548</v>
      </c>
      <c r="C51" s="529">
        <f>C9</f>
        <v>0</v>
      </c>
      <c r="D51" s="530"/>
      <c r="E51" s="530"/>
      <c r="F51" s="530"/>
      <c r="G51" s="530"/>
      <c r="H51" s="530"/>
      <c r="I51" s="530"/>
      <c r="J51" s="530"/>
      <c r="K51" s="531"/>
      <c r="L51" s="532"/>
      <c r="M51" s="533"/>
      <c r="N51" s="1152"/>
      <c r="O51" s="1152"/>
      <c r="P51" s="45"/>
      <c r="Q51" s="504"/>
    </row>
    <row r="52" spans="1:17" ht="15" thickBot="1">
      <c r="A52" s="534"/>
      <c r="B52" s="535"/>
      <c r="C52" s="536">
        <v>100</v>
      </c>
      <c r="D52" s="536"/>
      <c r="E52" s="536"/>
      <c r="F52" s="536"/>
      <c r="G52" s="536"/>
      <c r="H52" s="536"/>
      <c r="I52" s="536"/>
      <c r="J52" s="536"/>
      <c r="K52" s="536"/>
      <c r="L52" s="536"/>
      <c r="M52" s="537"/>
      <c r="N52" s="1153"/>
      <c r="O52" s="1153"/>
      <c r="P52" s="45"/>
      <c r="Q52" s="504"/>
    </row>
    <row r="53" spans="1:17" ht="31"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6"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 thickTop="1">
      <c r="A55" s="534"/>
      <c r="B55" s="660">
        <f>B11</f>
        <v>111</v>
      </c>
      <c r="C55" s="549"/>
      <c r="D55" s="549"/>
      <c r="E55" s="549"/>
      <c r="F55" s="549"/>
      <c r="G55" s="549"/>
      <c r="H55" s="549"/>
      <c r="I55" s="549"/>
      <c r="J55" s="549"/>
      <c r="K55" s="550"/>
      <c r="L55" s="551"/>
      <c r="M55" s="552"/>
      <c r="N55" s="1152"/>
      <c r="O55" s="1152"/>
      <c r="P55" s="45"/>
      <c r="Q55" s="504"/>
    </row>
    <row r="56" spans="1:17" ht="15" thickBot="1">
      <c r="A56" s="534"/>
      <c r="B56" s="535"/>
      <c r="C56" s="560"/>
      <c r="D56" s="536"/>
      <c r="E56" s="536"/>
      <c r="F56" s="536"/>
      <c r="G56" s="536"/>
      <c r="H56" s="536"/>
      <c r="I56" s="536"/>
      <c r="J56" s="536"/>
      <c r="K56" s="536"/>
      <c r="L56" s="536"/>
      <c r="M56" s="537"/>
      <c r="N56" s="1153"/>
      <c r="O56" s="1153"/>
      <c r="P56" s="45"/>
      <c r="Q56" s="504"/>
    </row>
    <row r="57" spans="1:17" s="471" customFormat="1" ht="15" thickTop="1">
      <c r="A57" s="553"/>
      <c r="B57" s="538">
        <f>B12</f>
        <v>111</v>
      </c>
      <c r="C57" s="549"/>
      <c r="D57" s="549"/>
      <c r="E57" s="549"/>
      <c r="F57" s="549"/>
      <c r="G57" s="554"/>
      <c r="H57" s="555"/>
      <c r="I57" s="555"/>
      <c r="J57" s="555"/>
      <c r="K57" s="555"/>
      <c r="L57" s="556"/>
      <c r="M57" s="557"/>
      <c r="N57" s="1154"/>
      <c r="O57" s="1154"/>
      <c r="P57" s="558"/>
      <c r="Q57" s="559"/>
    </row>
    <row r="58" spans="1:17" s="471" customFormat="1" ht="15" thickBot="1">
      <c r="A58" s="553"/>
      <c r="B58" s="543"/>
      <c r="C58" s="560"/>
      <c r="D58" s="536"/>
      <c r="E58" s="536"/>
      <c r="F58" s="536"/>
      <c r="G58" s="536"/>
      <c r="H58" s="536"/>
      <c r="I58" s="536"/>
      <c r="J58" s="536"/>
      <c r="K58" s="536"/>
      <c r="L58" s="536"/>
      <c r="M58" s="537"/>
      <c r="N58" s="1153"/>
      <c r="O58" s="1153"/>
      <c r="P58" s="558"/>
      <c r="Q58" s="559"/>
    </row>
    <row r="59" spans="1:17" s="471" customFormat="1" ht="15" thickTop="1">
      <c r="A59" s="553"/>
      <c r="B59" s="538">
        <f>B13</f>
        <v>111</v>
      </c>
      <c r="C59" s="549"/>
      <c r="D59" s="549"/>
      <c r="E59" s="549"/>
      <c r="F59" s="549"/>
      <c r="G59" s="554"/>
      <c r="H59" s="555"/>
      <c r="I59" s="555"/>
      <c r="J59" s="555"/>
      <c r="K59" s="555"/>
      <c r="L59" s="556"/>
      <c r="M59" s="557"/>
      <c r="N59" s="1154"/>
      <c r="O59" s="1154"/>
      <c r="P59" s="470"/>
      <c r="Q59" s="561"/>
    </row>
    <row r="60" spans="1:17" s="471" customFormat="1" ht="15" thickBot="1">
      <c r="A60" s="553"/>
      <c r="B60" s="543"/>
      <c r="C60" s="560"/>
      <c r="D60" s="560"/>
      <c r="E60" s="560"/>
      <c r="F60" s="560"/>
      <c r="G60" s="560"/>
      <c r="H60" s="562"/>
      <c r="I60" s="562"/>
      <c r="J60" s="562"/>
      <c r="K60" s="562"/>
      <c r="L60" s="562"/>
      <c r="M60" s="563"/>
      <c r="N60" s="1154"/>
      <c r="O60" s="1154"/>
      <c r="P60" s="558"/>
      <c r="Q60" s="559"/>
    </row>
    <row r="61" spans="1:17" ht="16"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31"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6"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6"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6" thickTop="1">
      <c r="A69" s="534"/>
      <c r="B69" s="538" t="s">
        <v>2723</v>
      </c>
      <c r="C69" s="554"/>
      <c r="D69" s="554"/>
      <c r="E69" s="554"/>
      <c r="F69" s="554"/>
      <c r="G69" s="554"/>
      <c r="H69" s="583"/>
      <c r="I69" s="583"/>
      <c r="J69" s="583"/>
      <c r="K69" s="584"/>
      <c r="L69" s="585"/>
      <c r="M69" s="586"/>
      <c r="N69" s="1152"/>
      <c r="O69" s="1152"/>
      <c r="P69" s="45"/>
      <c r="Q69" s="504"/>
    </row>
    <row r="70" spans="1:17" ht="1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 thickTop="1">
      <c r="A71" s="579"/>
      <c r="B71" s="538">
        <f>B23</f>
        <v>111</v>
      </c>
      <c r="C71" s="549"/>
      <c r="D71" s="549"/>
      <c r="E71" s="549"/>
      <c r="F71" s="549"/>
      <c r="G71" s="554"/>
      <c r="H71" s="554"/>
      <c r="I71" s="554"/>
      <c r="J71" s="554"/>
      <c r="K71" s="554"/>
      <c r="L71" s="580"/>
      <c r="M71" s="581"/>
      <c r="N71" s="1151"/>
      <c r="O71" s="1151"/>
      <c r="P71" s="45"/>
      <c r="Q71" s="504"/>
    </row>
    <row r="72" spans="1:17" s="117" customFormat="1" ht="15" thickBot="1">
      <c r="A72" s="579"/>
      <c r="B72" s="543"/>
      <c r="C72" s="560"/>
      <c r="D72" s="536"/>
      <c r="E72" s="536"/>
      <c r="F72" s="536"/>
      <c r="G72" s="536"/>
      <c r="H72" s="536"/>
      <c r="I72" s="536"/>
      <c r="J72" s="536"/>
      <c r="K72" s="536"/>
      <c r="L72" s="536"/>
      <c r="M72" s="537"/>
      <c r="N72" s="1153"/>
      <c r="O72" s="1153"/>
      <c r="P72" s="45"/>
      <c r="Q72" s="504"/>
    </row>
    <row r="73" spans="1:17" s="117" customFormat="1" ht="15" thickTop="1">
      <c r="A73" s="579"/>
      <c r="B73" s="538">
        <f>B24</f>
        <v>111</v>
      </c>
      <c r="C73" s="549"/>
      <c r="D73" s="549"/>
      <c r="E73" s="549"/>
      <c r="F73" s="549"/>
      <c r="G73" s="554"/>
      <c r="H73" s="554"/>
      <c r="I73" s="554"/>
      <c r="J73" s="554"/>
      <c r="K73" s="554"/>
      <c r="L73" s="554"/>
      <c r="M73" s="581"/>
      <c r="N73" s="1151"/>
      <c r="O73" s="1151"/>
      <c r="P73" s="45"/>
      <c r="Q73" s="504"/>
    </row>
    <row r="74" spans="1:17" s="117" customFormat="1" ht="15" thickBot="1">
      <c r="A74" s="579"/>
      <c r="B74" s="543"/>
      <c r="C74" s="560"/>
      <c r="D74" s="536"/>
      <c r="E74" s="536"/>
      <c r="F74" s="536"/>
      <c r="G74" s="536"/>
      <c r="H74" s="536"/>
      <c r="I74" s="536"/>
      <c r="J74" s="536"/>
      <c r="K74" s="536"/>
      <c r="L74" s="536"/>
      <c r="M74" s="537"/>
      <c r="N74" s="1153"/>
      <c r="O74" s="1153"/>
      <c r="P74" s="45"/>
      <c r="Q74" s="504"/>
    </row>
    <row r="75" spans="1:17" s="471" customFormat="1" ht="15" thickTop="1">
      <c r="A75" s="553"/>
      <c r="B75" s="538">
        <f>B25</f>
        <v>111</v>
      </c>
      <c r="C75" s="549"/>
      <c r="D75" s="549"/>
      <c r="E75" s="549"/>
      <c r="F75" s="549"/>
      <c r="G75" s="554"/>
      <c r="H75" s="555"/>
      <c r="I75" s="555"/>
      <c r="J75" s="555"/>
      <c r="K75" s="555"/>
      <c r="L75" s="556"/>
      <c r="M75" s="557"/>
      <c r="N75" s="1154"/>
      <c r="O75" s="1154"/>
      <c r="P75" s="558"/>
      <c r="Q75" s="559"/>
    </row>
    <row r="76" spans="1:17" s="471" customFormat="1" ht="15" thickBot="1">
      <c r="A76" s="553"/>
      <c r="B76" s="543"/>
      <c r="C76" s="560"/>
      <c r="D76" s="560"/>
      <c r="E76" s="560"/>
      <c r="F76" s="560"/>
      <c r="G76" s="536"/>
      <c r="H76" s="536"/>
      <c r="I76" s="536"/>
      <c r="J76" s="536"/>
      <c r="K76" s="536"/>
      <c r="L76" s="536"/>
      <c r="M76" s="537"/>
      <c r="N76" s="1154"/>
      <c r="O76" s="1154"/>
      <c r="P76" s="558"/>
      <c r="Q76" s="559"/>
    </row>
    <row r="77" spans="1:17" ht="16" thickTop="1">
      <c r="A77" s="527" t="s">
        <v>2557</v>
      </c>
      <c r="B77" s="528" t="s">
        <v>2610</v>
      </c>
      <c r="C77" s="554"/>
      <c r="D77" s="554"/>
      <c r="E77" s="530"/>
      <c r="F77" s="530"/>
      <c r="G77" s="530"/>
      <c r="H77" s="530"/>
      <c r="I77" s="530"/>
      <c r="J77" s="530"/>
      <c r="K77" s="531"/>
      <c r="L77" s="532"/>
      <c r="M77" s="533"/>
      <c r="N77" s="1152"/>
      <c r="O77" s="1152"/>
      <c r="P77" s="45"/>
      <c r="Q77" s="504"/>
    </row>
    <row r="78" spans="1:17" ht="1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6"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6" thickTop="1">
      <c r="A82" s="599"/>
      <c r="B82" s="546" t="s">
        <v>2727</v>
      </c>
      <c r="C82" s="554"/>
      <c r="D82" s="554"/>
      <c r="E82" s="583"/>
      <c r="F82" s="583"/>
      <c r="G82" s="583"/>
      <c r="H82" s="583"/>
      <c r="I82" s="583"/>
      <c r="J82" s="583"/>
      <c r="K82" s="584"/>
      <c r="L82" s="585"/>
      <c r="M82" s="586"/>
      <c r="N82" s="1152"/>
      <c r="O82" s="1152"/>
      <c r="P82" s="45"/>
      <c r="Q82" s="504"/>
    </row>
    <row r="83" spans="1:17" ht="1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6" thickTop="1">
      <c r="A84" s="599"/>
      <c r="B84" s="538" t="s">
        <v>2735</v>
      </c>
      <c r="C84" s="554"/>
      <c r="D84" s="554"/>
      <c r="E84" s="554"/>
      <c r="F84" s="554"/>
      <c r="G84" s="554"/>
      <c r="H84" s="554"/>
      <c r="I84" s="583"/>
      <c r="J84" s="583"/>
      <c r="K84" s="584"/>
      <c r="L84" s="585"/>
      <c r="M84" s="586"/>
      <c r="N84" s="1152"/>
      <c r="O84" s="1152"/>
      <c r="P84" s="45"/>
      <c r="Q84" s="504"/>
    </row>
    <row r="85" spans="1:17" ht="1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6"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 thickBot="1">
      <c r="A88" s="534"/>
      <c r="B88" s="543"/>
      <c r="C88" s="560"/>
      <c r="D88" s="536"/>
      <c r="E88" s="536"/>
      <c r="F88" s="536"/>
      <c r="G88" s="536"/>
      <c r="H88" s="536"/>
      <c r="I88" s="536"/>
      <c r="J88" s="536"/>
      <c r="K88" s="536"/>
      <c r="L88" s="536"/>
      <c r="M88" s="536"/>
      <c r="N88" s="1153"/>
      <c r="O88" s="1153"/>
      <c r="P88" s="45"/>
      <c r="Q88" s="504"/>
    </row>
    <row r="89" spans="1:17" s="471" customFormat="1" ht="16" thickTop="1">
      <c r="A89" s="593"/>
      <c r="B89" s="538" t="s">
        <v>2737</v>
      </c>
      <c r="C89" s="554"/>
      <c r="D89" s="554"/>
      <c r="E89" s="554"/>
      <c r="F89" s="554"/>
      <c r="G89" s="554"/>
      <c r="H89" s="554"/>
      <c r="I89" s="554"/>
      <c r="J89" s="554"/>
      <c r="K89" s="554"/>
      <c r="L89" s="554"/>
      <c r="M89" s="581"/>
      <c r="N89" s="1154"/>
      <c r="O89" s="1154"/>
      <c r="P89" s="558"/>
      <c r="Q89" s="559"/>
    </row>
    <row r="90" spans="1:17" s="471" customFormat="1" ht="1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B00-000000000000}">
      <formula1>交通便捷度</formula1>
    </dataValidation>
    <dataValidation type="list" allowBlank="1" showInputMessage="1" showErrorMessage="1" sqref="G17 C17 E17 I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C8 E8 G8 I8" xr:uid="{00000000-0002-0000-2B00-000004000000}">
      <formula1>仓储交易情况</formula1>
    </dataValidation>
    <dataValidation type="list" allowBlank="1" showInputMessage="1" showErrorMessage="1" sqref="E9 G9 I9" xr:uid="{00000000-0002-0000-2B00-000005000000}">
      <formula1>仓储用途</formula1>
    </dataValidation>
    <dataValidation type="list" allowBlank="1" showInputMessage="1" showErrorMessage="1" sqref="C21 E21 G21 I21" xr:uid="{00000000-0002-0000-2B00-000006000000}">
      <formula1>环境</formula1>
    </dataValidation>
    <dataValidation type="list" allowBlank="1" showInputMessage="1" showErrorMessage="1" sqref="C22 E22 G22 I22" xr:uid="{00000000-0002-0000-2B00-000007000000}">
      <formula1>仓储楼层</formula1>
    </dataValidation>
    <dataValidation type="list" allowBlank="1" showInputMessage="1" showErrorMessage="1" sqref="C26 E26 G26 I26" xr:uid="{00000000-0002-0000-2B00-000008000000}">
      <formula1>仓储公共部分装修</formula1>
    </dataValidation>
    <dataValidation type="list" allowBlank="1" showInputMessage="1" showErrorMessage="1" sqref="C29 E29 G29 I29" xr:uid="{00000000-0002-0000-2B00-000009000000}">
      <formula1>有无电梯</formula1>
    </dataValidation>
    <dataValidation type="list" allowBlank="1" showInputMessage="1" showErrorMessage="1" sqref="C31 E31 G31 I31" xr:uid="{00000000-0002-0000-2B00-00000A000000}">
      <formula1>是否封闭</formula1>
    </dataValidation>
    <dataValidation type="list" allowBlank="1" showInputMessage="1" showErrorMessage="1" sqref="B1" xr:uid="{00000000-0002-0000-2B00-00000B000000}">
      <formula1>地类判定</formula1>
    </dataValidation>
    <dataValidation type="list" allowBlank="1" showInputMessage="1" showErrorMessage="1" sqref="C28 E28 G28 I28" xr:uid="{00000000-0002-0000-2B00-00000C000000}">
      <formula1>仓储物业等级</formula1>
    </dataValidation>
    <dataValidation type="list" allowBlank="1" showInputMessage="1" showErrorMessage="1" sqref="C19 E19 G19 I19" xr:uid="{00000000-0002-0000-2B00-00000D000000}">
      <formula1>基础设施水平</formula1>
    </dataValidation>
    <dataValidation type="list" allowBlank="1" showInputMessage="1" showErrorMessage="1" sqref="F1" xr:uid="{00000000-0002-0000-2B00-00000E000000}">
      <formula1>"售价,租金"</formula1>
    </dataValidation>
    <dataValidation type="list" allowBlank="1" showInputMessage="1" showErrorMessage="1" sqref="C2" xr:uid="{00000000-0002-0000-2B00-00000F000000}">
      <formula1>"需扣减承租人权益,——"</formula1>
    </dataValidation>
    <dataValidation type="list" allowBlank="1" showInputMessage="1" showErrorMessage="1" sqref="F2" xr:uid="{00000000-0002-0000-2B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6">
    <tabColor rgb="FF92D050"/>
    <pageSetUpPr fitToPage="1"/>
  </sheetPr>
  <dimension ref="A1:AC121"/>
  <sheetViews>
    <sheetView zoomScale="80" zoomScaleNormal="80" workbookViewId="0">
      <selection activeCell="R43" sqref="R43:W43"/>
    </sheetView>
  </sheetViews>
  <sheetFormatPr baseColWidth="10" defaultColWidth="9" defaultRowHeight="14"/>
  <cols>
    <col min="1" max="1" width="14.33203125" style="403" customWidth="1"/>
    <col min="2" max="2" width="15.832031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83203125" style="403" customWidth="1"/>
    <col min="17" max="17" width="19.5" style="403" customWidth="1"/>
    <col min="18" max="22" width="6.1640625" style="403" customWidth="1"/>
    <col min="23" max="23" width="5.83203125" style="403" customWidth="1"/>
    <col min="24" max="24" width="4.1640625" style="403" customWidth="1"/>
    <col min="25" max="25" width="3.5" style="403" customWidth="1"/>
    <col min="26" max="26" width="19.83203125" style="403" customWidth="1"/>
    <col min="27" max="28" width="9.3320312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490" t="s">
        <v>2640</v>
      </c>
      <c r="D4" s="3491"/>
      <c r="E4" s="3492" t="s">
        <v>2641</v>
      </c>
      <c r="F4" s="3493"/>
      <c r="G4" s="3490" t="s">
        <v>2642</v>
      </c>
      <c r="H4" s="3491"/>
      <c r="I4" s="3490" t="s">
        <v>2643</v>
      </c>
      <c r="J4" s="3491"/>
      <c r="K4" s="610" t="s">
        <v>2644</v>
      </c>
      <c r="L4" s="1130"/>
      <c r="M4" s="1131"/>
      <c r="N4" s="1131"/>
      <c r="O4" s="1131"/>
      <c r="P4" s="3494" t="s">
        <v>2645</v>
      </c>
      <c r="Q4" s="3495"/>
      <c r="R4" s="3477" t="s">
        <v>2641</v>
      </c>
      <c r="S4" s="3478"/>
      <c r="T4" s="3477" t="s">
        <v>2642</v>
      </c>
      <c r="U4" s="3478"/>
      <c r="V4" s="3502" t="s">
        <v>2643</v>
      </c>
      <c r="W4" s="3502"/>
      <c r="X4" s="1812"/>
      <c r="Y4" s="3477" t="s">
        <v>2645</v>
      </c>
      <c r="Z4" s="3478"/>
      <c r="AA4" s="3472" t="s">
        <v>2641</v>
      </c>
      <c r="AB4" s="3473" t="s">
        <v>2642</v>
      </c>
      <c r="AC4" s="3472" t="s">
        <v>2643</v>
      </c>
    </row>
    <row r="5" spans="1:29">
      <c r="A5" s="404"/>
      <c r="B5" s="405"/>
      <c r="C5" s="3483" t="s">
        <v>2536</v>
      </c>
      <c r="D5" s="3484"/>
      <c r="E5" s="3481" t="s">
        <v>2537</v>
      </c>
      <c r="F5" s="3482"/>
      <c r="G5" s="3483" t="s">
        <v>2538</v>
      </c>
      <c r="H5" s="3484"/>
      <c r="I5" s="3483" t="s">
        <v>2539</v>
      </c>
      <c r="J5" s="3484"/>
      <c r="K5" s="610"/>
      <c r="L5" s="1130"/>
      <c r="M5" s="1131"/>
      <c r="N5" s="1131"/>
      <c r="O5" s="1131"/>
      <c r="P5" s="3496"/>
      <c r="Q5" s="3497"/>
      <c r="R5" s="3479"/>
      <c r="S5" s="3480"/>
      <c r="T5" s="3479"/>
      <c r="U5" s="3480"/>
      <c r="V5" s="3502"/>
      <c r="W5" s="3502"/>
      <c r="X5" s="1812"/>
      <c r="Y5" s="3479"/>
      <c r="Z5" s="3480"/>
      <c r="AA5" s="3473"/>
      <c r="AB5" s="3473"/>
      <c r="AC5" s="3473"/>
    </row>
    <row r="6" spans="1:29" ht="16" thickBot="1">
      <c r="A6" s="406"/>
      <c r="B6" s="407"/>
      <c r="C6" s="3565" t="s">
        <v>2791</v>
      </c>
      <c r="D6" s="3566"/>
      <c r="E6" s="3567" t="s">
        <v>2791</v>
      </c>
      <c r="F6" s="3568"/>
      <c r="G6" s="3565" t="s">
        <v>2791</v>
      </c>
      <c r="H6" s="3566"/>
      <c r="I6" s="3565" t="s">
        <v>2791</v>
      </c>
      <c r="J6" s="3566"/>
      <c r="K6" s="610" t="s">
        <v>2541</v>
      </c>
      <c r="L6" s="1130"/>
      <c r="M6" s="1131"/>
      <c r="N6" s="1131"/>
      <c r="O6" s="1131"/>
      <c r="P6" s="3498"/>
      <c r="Q6" s="3499"/>
      <c r="R6" s="3479"/>
      <c r="S6" s="3480"/>
      <c r="T6" s="3500"/>
      <c r="U6" s="3501"/>
      <c r="V6" s="3502"/>
      <c r="W6" s="3502"/>
      <c r="X6" s="1812"/>
      <c r="Y6" s="3500"/>
      <c r="Z6" s="3501"/>
      <c r="AA6" s="3474"/>
      <c r="AB6" s="3474"/>
      <c r="AC6" s="3474"/>
    </row>
    <row r="7" spans="1:29" s="117" customFormat="1" ht="16" thickBot="1">
      <c r="A7" s="408" t="s">
        <v>2542</v>
      </c>
      <c r="B7" s="409"/>
      <c r="C7" s="410">
        <f>'数据-取费表'!B2</f>
        <v>43905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475" t="s">
        <v>2543</v>
      </c>
      <c r="Q7" s="3503"/>
      <c r="R7" s="770" t="s">
        <v>17</v>
      </c>
      <c r="S7" s="771">
        <f t="shared" ref="S7:S15" si="0">F7</f>
        <v>0</v>
      </c>
      <c r="T7" s="770" t="s">
        <v>17</v>
      </c>
      <c r="U7" s="771">
        <f t="shared" ref="U7:U15" si="1">H7</f>
        <v>0</v>
      </c>
      <c r="V7" s="770" t="s">
        <v>17</v>
      </c>
      <c r="W7" s="771">
        <f t="shared" ref="W7:W15" si="2">J7</f>
        <v>0</v>
      </c>
      <c r="X7" s="772"/>
      <c r="Y7" s="3475" t="s">
        <v>2543</v>
      </c>
      <c r="Z7" s="3476"/>
      <c r="AA7" s="773" t="e">
        <f>D7/F7</f>
        <v>#DIV/0!</v>
      </c>
      <c r="AB7" s="773" t="e">
        <f>D7/H7</f>
        <v>#DIV/0!</v>
      </c>
      <c r="AC7" s="773" t="e">
        <f>D7/J7</f>
        <v>#DIV/0!</v>
      </c>
    </row>
    <row r="8" spans="1:29" s="117" customFormat="1" ht="16"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475" t="s">
        <v>2546</v>
      </c>
      <c r="Q8" s="3476"/>
      <c r="R8" s="770" t="s">
        <v>17</v>
      </c>
      <c r="S8" s="771">
        <f t="shared" si="0"/>
        <v>0</v>
      </c>
      <c r="T8" s="770" t="s">
        <v>17</v>
      </c>
      <c r="U8" s="771">
        <f t="shared" si="1"/>
        <v>0</v>
      </c>
      <c r="V8" s="770" t="s">
        <v>17</v>
      </c>
      <c r="W8" s="771">
        <f t="shared" si="2"/>
        <v>0</v>
      </c>
      <c r="X8" s="772"/>
      <c r="Y8" s="3475" t="s">
        <v>2546</v>
      </c>
      <c r="Z8" s="3476"/>
      <c r="AA8" s="773" t="e">
        <f t="shared" ref="AA8:AA40" si="3">D8/F8</f>
        <v>#DIV/0!</v>
      </c>
      <c r="AB8" s="773" t="e">
        <f t="shared" ref="AB8:AB40" si="4">D8/H8</f>
        <v>#DIV/0!</v>
      </c>
      <c r="AC8" s="773" t="e">
        <f t="shared" ref="AC8:AC40" si="5">D8/J8</f>
        <v>#DIV/0!</v>
      </c>
    </row>
    <row r="9" spans="1:29" s="117" customFormat="1" ht="15">
      <c r="A9" s="415" t="s">
        <v>2547</v>
      </c>
      <c r="B9" s="71" t="s">
        <v>2548</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489" t="s">
        <v>2549</v>
      </c>
      <c r="Q9" s="1794" t="str">
        <f t="shared" ref="Q9:Q15" si="6">B9</f>
        <v>用途</v>
      </c>
      <c r="R9" s="770" t="s">
        <v>17</v>
      </c>
      <c r="S9" s="771">
        <f t="shared" si="0"/>
        <v>100</v>
      </c>
      <c r="T9" s="770" t="s">
        <v>17</v>
      </c>
      <c r="U9" s="771">
        <f t="shared" si="1"/>
        <v>100</v>
      </c>
      <c r="V9" s="770" t="s">
        <v>17</v>
      </c>
      <c r="W9" s="771">
        <f t="shared" si="2"/>
        <v>100</v>
      </c>
      <c r="X9" s="772"/>
      <c r="Y9" s="3219" t="s">
        <v>2550</v>
      </c>
      <c r="Z9" s="55" t="str">
        <f t="shared" ref="Z9:Z15" si="7">Q9</f>
        <v>用途</v>
      </c>
      <c r="AA9" s="773">
        <f t="shared" si="3"/>
        <v>1</v>
      </c>
      <c r="AB9" s="773">
        <f t="shared" si="4"/>
        <v>1</v>
      </c>
      <c r="AC9" s="773">
        <f t="shared" si="5"/>
        <v>1</v>
      </c>
    </row>
    <row r="10" spans="1:29" s="427" customFormat="1" ht="30">
      <c r="A10" s="421"/>
      <c r="B10" s="422" t="s">
        <v>2551</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489"/>
      <c r="Q10" s="1794" t="str">
        <f t="shared" si="6"/>
        <v>土地使用年限（年）</v>
      </c>
      <c r="R10" s="770" t="s">
        <v>17</v>
      </c>
      <c r="S10" s="771">
        <f t="shared" si="0"/>
        <v>102</v>
      </c>
      <c r="T10" s="770" t="s">
        <v>17</v>
      </c>
      <c r="U10" s="771">
        <f t="shared" si="1"/>
        <v>102</v>
      </c>
      <c r="V10" s="770" t="s">
        <v>17</v>
      </c>
      <c r="W10" s="771">
        <f t="shared" si="2"/>
        <v>102</v>
      </c>
      <c r="X10" s="772"/>
      <c r="Y10" s="3219"/>
      <c r="Z10" s="55" t="str">
        <f t="shared" si="7"/>
        <v>土地使用年限（年）</v>
      </c>
      <c r="AA10" s="773">
        <f t="shared" si="3"/>
        <v>0.98039215686274506</v>
      </c>
      <c r="AB10" s="773">
        <f t="shared" si="4"/>
        <v>0.98039215686274506</v>
      </c>
      <c r="AC10" s="773">
        <f t="shared" si="5"/>
        <v>0.98039215686274506</v>
      </c>
    </row>
    <row r="11" spans="1:29" ht="16">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489"/>
      <c r="Q11" s="1794" t="str">
        <f t="shared" si="6"/>
        <v>容积率</v>
      </c>
      <c r="R11" s="770" t="s">
        <v>17</v>
      </c>
      <c r="S11" s="771" t="e">
        <f t="shared" si="0"/>
        <v>#N/A</v>
      </c>
      <c r="T11" s="770" t="s">
        <v>17</v>
      </c>
      <c r="U11" s="771" t="e">
        <f t="shared" si="1"/>
        <v>#N/A</v>
      </c>
      <c r="V11" s="770" t="s">
        <v>17</v>
      </c>
      <c r="W11" s="771" t="e">
        <f t="shared" si="2"/>
        <v>#N/A</v>
      </c>
      <c r="X11" s="772"/>
      <c r="Y11" s="3219"/>
      <c r="Z11" s="55" t="str">
        <f t="shared" si="7"/>
        <v>容积率</v>
      </c>
      <c r="AA11" s="773" t="e">
        <f t="shared" si="3"/>
        <v>#N/A</v>
      </c>
      <c r="AB11" s="773" t="e">
        <f t="shared" si="4"/>
        <v>#N/A</v>
      </c>
      <c r="AC11" s="773" t="e">
        <f t="shared" si="5"/>
        <v>#N/A</v>
      </c>
    </row>
    <row r="12" spans="1:29" s="117" customFormat="1" ht="16">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489"/>
      <c r="Q12" s="1794">
        <f t="shared" si="6"/>
        <v>111</v>
      </c>
      <c r="R12" s="770" t="s">
        <v>17</v>
      </c>
      <c r="S12" s="771">
        <f t="shared" si="0"/>
        <v>100</v>
      </c>
      <c r="T12" s="770" t="s">
        <v>17</v>
      </c>
      <c r="U12" s="771">
        <f t="shared" si="1"/>
        <v>100</v>
      </c>
      <c r="V12" s="770" t="s">
        <v>17</v>
      </c>
      <c r="W12" s="771">
        <f t="shared" si="2"/>
        <v>100</v>
      </c>
      <c r="X12" s="772"/>
      <c r="Y12" s="3219"/>
      <c r="Z12" s="55">
        <f t="shared" si="7"/>
        <v>111</v>
      </c>
      <c r="AA12" s="773">
        <f>D12/F12</f>
        <v>1</v>
      </c>
      <c r="AB12" s="773">
        <f>D12/H12</f>
        <v>1</v>
      </c>
      <c r="AC12" s="773">
        <f>D12/J12</f>
        <v>1</v>
      </c>
    </row>
    <row r="13" spans="1:29" ht="16">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489"/>
      <c r="Q13" s="1794">
        <f t="shared" si="6"/>
        <v>111</v>
      </c>
      <c r="R13" s="770" t="s">
        <v>17</v>
      </c>
      <c r="S13" s="771">
        <f t="shared" si="0"/>
        <v>100</v>
      </c>
      <c r="T13" s="770" t="s">
        <v>17</v>
      </c>
      <c r="U13" s="771">
        <f t="shared" si="1"/>
        <v>100</v>
      </c>
      <c r="V13" s="770" t="s">
        <v>17</v>
      </c>
      <c r="W13" s="771">
        <f t="shared" si="2"/>
        <v>100</v>
      </c>
      <c r="X13" s="772"/>
      <c r="Y13" s="3219"/>
      <c r="Z13" s="55">
        <f t="shared" si="7"/>
        <v>111</v>
      </c>
      <c r="AA13" s="773">
        <f t="shared" si="3"/>
        <v>1</v>
      </c>
      <c r="AB13" s="773">
        <f t="shared" si="4"/>
        <v>1</v>
      </c>
      <c r="AC13" s="773">
        <f t="shared" si="5"/>
        <v>1</v>
      </c>
    </row>
    <row r="14" spans="1:29" ht="17"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489"/>
      <c r="Q14" s="1794">
        <f t="shared" si="6"/>
        <v>111</v>
      </c>
      <c r="R14" s="770" t="s">
        <v>17</v>
      </c>
      <c r="S14" s="771">
        <f t="shared" si="0"/>
        <v>100</v>
      </c>
      <c r="T14" s="770" t="s">
        <v>17</v>
      </c>
      <c r="U14" s="771">
        <f t="shared" si="1"/>
        <v>100</v>
      </c>
      <c r="V14" s="770" t="s">
        <v>17</v>
      </c>
      <c r="W14" s="771">
        <f t="shared" si="2"/>
        <v>100</v>
      </c>
      <c r="X14" s="772"/>
      <c r="Y14" s="3219"/>
      <c r="Z14" s="55">
        <f t="shared" si="7"/>
        <v>111</v>
      </c>
      <c r="AA14" s="773">
        <f t="shared" si="3"/>
        <v>1</v>
      </c>
      <c r="AB14" s="773">
        <f t="shared" si="4"/>
        <v>1</v>
      </c>
      <c r="AC14" s="773">
        <f t="shared" si="5"/>
        <v>1</v>
      </c>
    </row>
    <row r="15" spans="1:29" ht="60">
      <c r="A15" s="440" t="s">
        <v>2553</v>
      </c>
      <c r="B15" s="629" t="s">
        <v>2792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504" t="s">
        <v>2554</v>
      </c>
      <c r="Q15" s="1809" t="str">
        <f t="shared" si="6"/>
        <v>产业集聚程度</v>
      </c>
      <c r="R15" s="774" t="s">
        <v>17</v>
      </c>
      <c r="S15" s="775">
        <f t="shared" si="0"/>
        <v>100</v>
      </c>
      <c r="T15" s="774" t="s">
        <v>17</v>
      </c>
      <c r="U15" s="775">
        <f t="shared" si="1"/>
        <v>100</v>
      </c>
      <c r="V15" s="774" t="s">
        <v>17</v>
      </c>
      <c r="W15" s="775">
        <f t="shared" si="2"/>
        <v>100</v>
      </c>
      <c r="X15" s="1812"/>
      <c r="Y15" s="3504" t="s">
        <v>2554</v>
      </c>
      <c r="Z15" s="1813" t="str">
        <f t="shared" si="7"/>
        <v>产业集聚程度</v>
      </c>
      <c r="AA15" s="1810">
        <f t="shared" si="3"/>
        <v>1</v>
      </c>
      <c r="AB15" s="1810">
        <f t="shared" si="4"/>
        <v>1</v>
      </c>
      <c r="AC15" s="1810">
        <f t="shared" si="5"/>
        <v>1</v>
      </c>
    </row>
    <row r="16" spans="1:29" ht="16">
      <c r="A16" s="428"/>
      <c r="B16" s="630"/>
      <c r="C16" s="447"/>
      <c r="D16" s="448"/>
      <c r="E16" s="2611"/>
      <c r="F16" s="448"/>
      <c r="G16" s="2611"/>
      <c r="H16" s="450"/>
      <c r="I16" s="2611"/>
      <c r="J16" s="448"/>
      <c r="K16" s="672"/>
      <c r="L16" s="1140"/>
      <c r="M16" s="1131"/>
      <c r="N16" s="1131"/>
      <c r="O16" s="1139"/>
      <c r="P16" s="3505"/>
      <c r="Q16" s="1809"/>
      <c r="R16" s="774"/>
      <c r="S16" s="775"/>
      <c r="T16" s="774"/>
      <c r="U16" s="775"/>
      <c r="V16" s="774"/>
      <c r="W16" s="775"/>
      <c r="X16" s="1812"/>
      <c r="Y16" s="3505"/>
      <c r="Z16" s="1813"/>
      <c r="AA16" s="1810">
        <v>1</v>
      </c>
      <c r="AB16" s="1810">
        <v>1</v>
      </c>
      <c r="AC16" s="1810">
        <v>1</v>
      </c>
    </row>
    <row r="17" spans="1:29" ht="90">
      <c r="A17" s="428"/>
      <c r="B17" s="631" t="s">
        <v>2703</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505"/>
      <c r="Q17" s="1809" t="str">
        <f>B17</f>
        <v>交通便捷度</v>
      </c>
      <c r="R17" s="774" t="s">
        <v>17</v>
      </c>
      <c r="S17" s="775">
        <f>F17</f>
        <v>100</v>
      </c>
      <c r="T17" s="774" t="s">
        <v>17</v>
      </c>
      <c r="U17" s="775">
        <f>H17</f>
        <v>100</v>
      </c>
      <c r="V17" s="774" t="s">
        <v>17</v>
      </c>
      <c r="W17" s="775">
        <f>J17</f>
        <v>100</v>
      </c>
      <c r="X17" s="1812"/>
      <c r="Y17" s="3505"/>
      <c r="Z17" s="1813" t="str">
        <f>Q17</f>
        <v>交通便捷度</v>
      </c>
      <c r="AA17" s="1810">
        <f t="shared" si="3"/>
        <v>1</v>
      </c>
      <c r="AB17" s="1810">
        <f t="shared" si="4"/>
        <v>1</v>
      </c>
      <c r="AC17" s="1810">
        <f t="shared" si="5"/>
        <v>1</v>
      </c>
    </row>
    <row r="18" spans="1:29" ht="16">
      <c r="A18" s="428"/>
      <c r="B18" s="632"/>
      <c r="C18" s="447"/>
      <c r="D18" s="448"/>
      <c r="E18" s="2605"/>
      <c r="F18" s="448"/>
      <c r="G18" s="2605"/>
      <c r="H18" s="448"/>
      <c r="I18" s="2604"/>
      <c r="J18" s="448"/>
      <c r="K18" s="672"/>
      <c r="L18" s="1140"/>
      <c r="M18" s="1131"/>
      <c r="N18" s="1131"/>
      <c r="O18" s="1139"/>
      <c r="P18" s="3505"/>
      <c r="Q18" s="1809"/>
      <c r="R18" s="774"/>
      <c r="S18" s="775"/>
      <c r="T18" s="774"/>
      <c r="U18" s="775"/>
      <c r="V18" s="774"/>
      <c r="W18" s="775"/>
      <c r="X18" s="1812"/>
      <c r="Y18" s="3505"/>
      <c r="Z18" s="1813"/>
      <c r="AA18" s="1810">
        <v>1</v>
      </c>
      <c r="AB18" s="1810">
        <v>1</v>
      </c>
      <c r="AC18" s="1810">
        <v>1</v>
      </c>
    </row>
    <row r="19" spans="1:29" ht="16">
      <c r="A19" s="428"/>
      <c r="B19" s="631" t="s">
        <v>2742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505"/>
      <c r="Q19" s="1809" t="str">
        <f t="shared" ref="Q19:Q33" si="8">B19</f>
        <v>区域土地利用方向</v>
      </c>
      <c r="R19" s="774" t="s">
        <v>17</v>
      </c>
      <c r="S19" s="775">
        <f>F19</f>
        <v>100</v>
      </c>
      <c r="T19" s="774" t="s">
        <v>17</v>
      </c>
      <c r="U19" s="775">
        <f>H19</f>
        <v>100</v>
      </c>
      <c r="V19" s="774" t="s">
        <v>17</v>
      </c>
      <c r="W19" s="775">
        <f>J19</f>
        <v>100</v>
      </c>
      <c r="X19" s="1812"/>
      <c r="Y19" s="3505"/>
      <c r="Z19" s="1813" t="str">
        <f>Q19</f>
        <v>区域土地利用方向</v>
      </c>
      <c r="AA19" s="1810">
        <f t="shared" si="3"/>
        <v>1</v>
      </c>
      <c r="AB19" s="1810">
        <f t="shared" si="4"/>
        <v>1</v>
      </c>
      <c r="AC19" s="1810">
        <f t="shared" si="5"/>
        <v>1</v>
      </c>
    </row>
    <row r="20" spans="1:29" ht="16">
      <c r="A20" s="404"/>
      <c r="B20" s="632"/>
      <c r="C20" s="447"/>
      <c r="D20" s="448"/>
      <c r="E20" s="2605"/>
      <c r="F20" s="448"/>
      <c r="G20" s="2605"/>
      <c r="H20" s="448"/>
      <c r="I20" s="2605"/>
      <c r="J20" s="448"/>
      <c r="K20" s="812"/>
      <c r="L20" s="1140"/>
      <c r="M20" s="1131"/>
      <c r="N20" s="1131"/>
      <c r="O20" s="1139"/>
      <c r="P20" s="3505"/>
      <c r="Q20" s="1809"/>
      <c r="R20" s="774"/>
      <c r="S20" s="775"/>
      <c r="T20" s="774"/>
      <c r="U20" s="775"/>
      <c r="V20" s="774"/>
      <c r="W20" s="775"/>
      <c r="X20" s="1812"/>
      <c r="Y20" s="3505"/>
      <c r="Z20" s="1813"/>
      <c r="AA20" s="1810"/>
      <c r="AB20" s="1810"/>
      <c r="AC20" s="1810"/>
    </row>
    <row r="21" spans="1:29" ht="75">
      <c r="A21" s="404"/>
      <c r="B21" s="631" t="s">
        <v>2793</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505"/>
      <c r="Q21" s="1809" t="str">
        <f t="shared" si="8"/>
        <v>环境状况</v>
      </c>
      <c r="R21" s="774" t="s">
        <v>17</v>
      </c>
      <c r="S21" s="775">
        <f>F21</f>
        <v>100</v>
      </c>
      <c r="T21" s="774" t="s">
        <v>17</v>
      </c>
      <c r="U21" s="775">
        <f>H21</f>
        <v>100</v>
      </c>
      <c r="V21" s="774" t="s">
        <v>17</v>
      </c>
      <c r="W21" s="775">
        <f>J21</f>
        <v>100</v>
      </c>
      <c r="X21" s="1812"/>
      <c r="Y21" s="3505"/>
      <c r="Z21" s="1813" t="str">
        <f>Q21</f>
        <v>环境状况</v>
      </c>
      <c r="AA21" s="1810">
        <f t="shared" si="3"/>
        <v>1</v>
      </c>
      <c r="AB21" s="1810">
        <f t="shared" si="4"/>
        <v>1</v>
      </c>
      <c r="AC21" s="1810">
        <f t="shared" si="5"/>
        <v>1</v>
      </c>
    </row>
    <row r="22" spans="1:29" ht="16">
      <c r="A22" s="404"/>
      <c r="B22" s="632"/>
      <c r="C22" s="447"/>
      <c r="D22" s="448"/>
      <c r="E22" s="2611"/>
      <c r="F22" s="448"/>
      <c r="G22" s="2611"/>
      <c r="H22" s="448"/>
      <c r="I22" s="447"/>
      <c r="J22" s="448"/>
      <c r="K22" s="672"/>
      <c r="L22" s="1140"/>
      <c r="M22" s="1131"/>
      <c r="N22" s="1131"/>
      <c r="O22" s="1139"/>
      <c r="P22" s="3505"/>
      <c r="Q22" s="1809"/>
      <c r="R22" s="774"/>
      <c r="S22" s="775"/>
      <c r="T22" s="774"/>
      <c r="U22" s="775"/>
      <c r="V22" s="774"/>
      <c r="W22" s="775"/>
      <c r="X22" s="1812"/>
      <c r="Y22" s="3505"/>
      <c r="Z22" s="1813"/>
      <c r="AA22" s="1810">
        <v>1</v>
      </c>
      <c r="AB22" s="1810">
        <v>1</v>
      </c>
      <c r="AC22" s="1810">
        <v>1</v>
      </c>
    </row>
    <row r="23" spans="1:29" s="117" customFormat="1" ht="45">
      <c r="A23" s="649"/>
      <c r="B23" s="633" t="s">
        <v>2648</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505"/>
      <c r="Q23" s="1794" t="str">
        <f t="shared" si="8"/>
        <v>公共配套设施</v>
      </c>
      <c r="R23" s="770" t="s">
        <v>17</v>
      </c>
      <c r="S23" s="771">
        <f>F23</f>
        <v>100</v>
      </c>
      <c r="T23" s="770" t="s">
        <v>17</v>
      </c>
      <c r="U23" s="771">
        <f>H23</f>
        <v>100</v>
      </c>
      <c r="V23" s="770" t="s">
        <v>17</v>
      </c>
      <c r="W23" s="771">
        <f>J23</f>
        <v>100</v>
      </c>
      <c r="X23" s="772"/>
      <c r="Y23" s="3505"/>
      <c r="Z23" s="55" t="str">
        <f>Q23</f>
        <v>公共配套设施</v>
      </c>
      <c r="AA23" s="1810">
        <f>D23/F23</f>
        <v>1</v>
      </c>
      <c r="AB23" s="1810">
        <f>D23/H23</f>
        <v>1</v>
      </c>
      <c r="AC23" s="1810">
        <f>D23/J23</f>
        <v>1</v>
      </c>
    </row>
    <row r="24" spans="1:29" s="117" customFormat="1" ht="16">
      <c r="A24" s="649"/>
      <c r="B24" s="632"/>
      <c r="C24" s="2700"/>
      <c r="D24" s="448"/>
      <c r="E24" s="2611"/>
      <c r="F24" s="448"/>
      <c r="G24" s="2611"/>
      <c r="H24" s="448"/>
      <c r="I24" s="447"/>
      <c r="J24" s="448"/>
      <c r="K24" s="672"/>
      <c r="L24" s="1132"/>
      <c r="M24" s="1133"/>
      <c r="N24" s="1133"/>
      <c r="O24" s="1134"/>
      <c r="P24" s="3505"/>
      <c r="Q24" s="1794"/>
      <c r="R24" s="770"/>
      <c r="S24" s="771"/>
      <c r="T24" s="770"/>
      <c r="U24" s="771"/>
      <c r="V24" s="770"/>
      <c r="W24" s="771"/>
      <c r="X24" s="772"/>
      <c r="Y24" s="3505"/>
      <c r="Z24" s="55"/>
      <c r="AA24" s="773">
        <v>1</v>
      </c>
      <c r="AB24" s="773">
        <v>1</v>
      </c>
      <c r="AC24" s="773">
        <v>1</v>
      </c>
    </row>
    <row r="25" spans="1:29" s="117" customFormat="1" ht="30">
      <c r="A25" s="649"/>
      <c r="B25" s="633" t="s">
        <v>2649</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505"/>
      <c r="Q25" s="1794" t="str">
        <f t="shared" ref="Q25" si="9">B25</f>
        <v>基础设施水平</v>
      </c>
      <c r="R25" s="770" t="s">
        <v>17</v>
      </c>
      <c r="S25" s="771">
        <f>F25</f>
        <v>100</v>
      </c>
      <c r="T25" s="770" t="s">
        <v>17</v>
      </c>
      <c r="U25" s="771">
        <f>H25</f>
        <v>100</v>
      </c>
      <c r="V25" s="770" t="s">
        <v>17</v>
      </c>
      <c r="W25" s="771">
        <f>J25</f>
        <v>100</v>
      </c>
      <c r="X25" s="772"/>
      <c r="Y25" s="3505"/>
      <c r="Z25" s="55" t="str">
        <f>Q25</f>
        <v>基础设施水平</v>
      </c>
      <c r="AA25" s="1810">
        <f>D25/F25</f>
        <v>1</v>
      </c>
      <c r="AB25" s="1810">
        <f>D25/H25</f>
        <v>1</v>
      </c>
      <c r="AC25" s="1810">
        <f>D25/J25</f>
        <v>1</v>
      </c>
    </row>
    <row r="26" spans="1:29" s="117" customFormat="1" ht="16">
      <c r="A26" s="649"/>
      <c r="B26" s="632"/>
      <c r="C26" s="2700"/>
      <c r="D26" s="448"/>
      <c r="E26" s="2701"/>
      <c r="F26" s="448"/>
      <c r="G26" s="2701"/>
      <c r="H26" s="448"/>
      <c r="I26" s="2701"/>
      <c r="J26" s="448"/>
      <c r="K26" s="672"/>
      <c r="L26" s="1132"/>
      <c r="M26" s="1133"/>
      <c r="N26" s="1133"/>
      <c r="O26" s="1134"/>
      <c r="P26" s="3505"/>
      <c r="Q26" s="1794"/>
      <c r="R26" s="770"/>
      <c r="S26" s="771"/>
      <c r="T26" s="770"/>
      <c r="U26" s="771"/>
      <c r="V26" s="770"/>
      <c r="W26" s="771"/>
      <c r="X26" s="772"/>
      <c r="Y26" s="3505"/>
      <c r="Z26" s="55"/>
      <c r="AA26" s="773">
        <v>1</v>
      </c>
      <c r="AB26" s="773">
        <v>1</v>
      </c>
      <c r="AC26" s="773">
        <v>1</v>
      </c>
    </row>
    <row r="27" spans="1:29" ht="16">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50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505"/>
      <c r="Z27" s="1813" t="str">
        <f t="shared" ref="Z27:Z40" si="13">Q27</f>
        <v>临街状况</v>
      </c>
      <c r="AA27" s="1810">
        <f t="shared" si="3"/>
        <v>1</v>
      </c>
      <c r="AB27" s="1810">
        <f t="shared" si="4"/>
        <v>1</v>
      </c>
      <c r="AC27" s="1810">
        <f t="shared" si="5"/>
        <v>1</v>
      </c>
    </row>
    <row r="28" spans="1:29" ht="30">
      <c r="A28" s="428"/>
      <c r="B28" s="633" t="s">
        <v>2685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505"/>
      <c r="Q28" s="1809" t="str">
        <f t="shared" si="8"/>
        <v>毗邻道路的类型与等级</v>
      </c>
      <c r="R28" s="774" t="s">
        <v>17</v>
      </c>
      <c r="S28" s="775">
        <f t="shared" si="10"/>
        <v>100</v>
      </c>
      <c r="T28" s="774" t="s">
        <v>17</v>
      </c>
      <c r="U28" s="775">
        <f t="shared" si="11"/>
        <v>100</v>
      </c>
      <c r="V28" s="774" t="s">
        <v>17</v>
      </c>
      <c r="W28" s="775">
        <f t="shared" si="12"/>
        <v>100</v>
      </c>
      <c r="X28" s="1812"/>
      <c r="Y28" s="3505"/>
      <c r="Z28" s="1813" t="str">
        <f t="shared" si="13"/>
        <v>毗邻道路的类型与等级</v>
      </c>
      <c r="AA28" s="1810">
        <f t="shared" si="3"/>
        <v>1</v>
      </c>
      <c r="AB28" s="1810">
        <f t="shared" si="4"/>
        <v>1</v>
      </c>
      <c r="AC28" s="1810">
        <f t="shared" si="5"/>
        <v>1</v>
      </c>
    </row>
    <row r="29" spans="1:29" ht="16">
      <c r="A29" s="428"/>
      <c r="B29" s="632"/>
      <c r="C29" s="447"/>
      <c r="D29" s="448"/>
      <c r="E29" s="2611"/>
      <c r="F29" s="448"/>
      <c r="G29" s="2611"/>
      <c r="H29" s="448"/>
      <c r="I29" s="2611"/>
      <c r="J29" s="448"/>
      <c r="K29" s="613"/>
      <c r="L29" s="1140"/>
      <c r="M29" s="1131"/>
      <c r="N29" s="1131"/>
      <c r="O29" s="1139"/>
      <c r="P29" s="3505"/>
      <c r="Q29" s="1809"/>
      <c r="R29" s="774"/>
      <c r="S29" s="775"/>
      <c r="T29" s="774"/>
      <c r="U29" s="775"/>
      <c r="V29" s="774"/>
      <c r="W29" s="775"/>
      <c r="X29" s="1812"/>
      <c r="Y29" s="3505"/>
      <c r="Z29" s="1813"/>
      <c r="AA29" s="1810">
        <v>1</v>
      </c>
      <c r="AB29" s="1810">
        <v>1</v>
      </c>
      <c r="AC29" s="1810">
        <v>1</v>
      </c>
    </row>
    <row r="30" spans="1:29" ht="16">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505"/>
      <c r="Q30" s="1809" t="str">
        <f t="shared" si="8"/>
        <v>土地级别</v>
      </c>
      <c r="R30" s="774" t="s">
        <v>17</v>
      </c>
      <c r="S30" s="775">
        <f t="shared" si="10"/>
        <v>100</v>
      </c>
      <c r="T30" s="774" t="s">
        <v>17</v>
      </c>
      <c r="U30" s="775">
        <f t="shared" si="11"/>
        <v>100</v>
      </c>
      <c r="V30" s="774" t="s">
        <v>17</v>
      </c>
      <c r="W30" s="775">
        <f t="shared" si="12"/>
        <v>100</v>
      </c>
      <c r="X30" s="1812"/>
      <c r="Y30" s="3505"/>
      <c r="Z30" s="1813" t="str">
        <f t="shared" si="13"/>
        <v>土地级别</v>
      </c>
      <c r="AA30" s="1810">
        <f t="shared" si="3"/>
        <v>1</v>
      </c>
      <c r="AB30" s="1810">
        <f t="shared" si="4"/>
        <v>1</v>
      </c>
      <c r="AC30" s="1810">
        <f t="shared" si="5"/>
        <v>1</v>
      </c>
    </row>
    <row r="31" spans="1:29" ht="16">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505"/>
      <c r="Q31" s="1809">
        <f t="shared" si="8"/>
        <v>111</v>
      </c>
      <c r="R31" s="774" t="s">
        <v>17</v>
      </c>
      <c r="S31" s="775">
        <f t="shared" si="10"/>
        <v>100</v>
      </c>
      <c r="T31" s="774" t="s">
        <v>17</v>
      </c>
      <c r="U31" s="775">
        <f t="shared" si="11"/>
        <v>100</v>
      </c>
      <c r="V31" s="774" t="s">
        <v>17</v>
      </c>
      <c r="W31" s="775">
        <f t="shared" si="12"/>
        <v>100</v>
      </c>
      <c r="X31" s="1812"/>
      <c r="Y31" s="3505"/>
      <c r="Z31" s="1813">
        <f t="shared" si="13"/>
        <v>111</v>
      </c>
      <c r="AA31" s="1810">
        <f t="shared" si="3"/>
        <v>1</v>
      </c>
      <c r="AB31" s="1810">
        <f t="shared" si="4"/>
        <v>1</v>
      </c>
      <c r="AC31" s="1810">
        <f t="shared" si="5"/>
        <v>1</v>
      </c>
    </row>
    <row r="32" spans="1:29" ht="16">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506" t="s">
        <v>2559</v>
      </c>
      <c r="Q32" s="1809">
        <f t="shared" si="8"/>
        <v>111</v>
      </c>
      <c r="R32" s="774" t="s">
        <v>17</v>
      </c>
      <c r="S32" s="775">
        <f t="shared" si="10"/>
        <v>100</v>
      </c>
      <c r="T32" s="774" t="s">
        <v>17</v>
      </c>
      <c r="U32" s="775">
        <f t="shared" si="11"/>
        <v>100</v>
      </c>
      <c r="V32" s="774" t="s">
        <v>17</v>
      </c>
      <c r="W32" s="775">
        <f t="shared" si="12"/>
        <v>100</v>
      </c>
      <c r="X32" s="1812"/>
      <c r="Y32" s="3507" t="s">
        <v>2559</v>
      </c>
      <c r="Z32" s="1813">
        <f t="shared" si="13"/>
        <v>111</v>
      </c>
      <c r="AA32" s="1810">
        <f t="shared" si="3"/>
        <v>1</v>
      </c>
      <c r="AB32" s="1810">
        <f t="shared" si="4"/>
        <v>1</v>
      </c>
      <c r="AC32" s="1810">
        <f t="shared" si="5"/>
        <v>1</v>
      </c>
    </row>
    <row r="33" spans="1:29" s="471" customFormat="1" ht="17"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507"/>
      <c r="Q33" s="1809">
        <f t="shared" si="8"/>
        <v>111</v>
      </c>
      <c r="R33" s="777" t="s">
        <v>17</v>
      </c>
      <c r="S33" s="778">
        <f t="shared" si="10"/>
        <v>100</v>
      </c>
      <c r="T33" s="777" t="s">
        <v>17</v>
      </c>
      <c r="U33" s="778">
        <f t="shared" si="11"/>
        <v>100</v>
      </c>
      <c r="V33" s="777" t="s">
        <v>17</v>
      </c>
      <c r="W33" s="778">
        <f t="shared" si="12"/>
        <v>100</v>
      </c>
      <c r="X33" s="779"/>
      <c r="Y33" s="3507"/>
      <c r="Z33" s="780">
        <f t="shared" si="13"/>
        <v>111</v>
      </c>
      <c r="AA33" s="1810">
        <f t="shared" si="3"/>
        <v>1</v>
      </c>
      <c r="AB33" s="1810">
        <f t="shared" si="4"/>
        <v>1</v>
      </c>
      <c r="AC33" s="1810">
        <f t="shared" si="5"/>
        <v>1</v>
      </c>
    </row>
    <row r="34" spans="1:29" ht="16">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507"/>
      <c r="Q34" s="1809" t="str">
        <f>B34</f>
        <v>宗地面积</v>
      </c>
      <c r="R34" s="774" t="s">
        <v>17</v>
      </c>
      <c r="S34" s="775" t="e">
        <f t="shared" si="10"/>
        <v>#N/A</v>
      </c>
      <c r="T34" s="774" t="s">
        <v>17</v>
      </c>
      <c r="U34" s="775" t="e">
        <f t="shared" si="11"/>
        <v>#N/A</v>
      </c>
      <c r="V34" s="774" t="s">
        <v>17</v>
      </c>
      <c r="W34" s="775" t="e">
        <f t="shared" si="12"/>
        <v>#N/A</v>
      </c>
      <c r="X34" s="1812"/>
      <c r="Y34" s="3507"/>
      <c r="Z34" s="1813" t="str">
        <f t="shared" si="13"/>
        <v>宗地面积</v>
      </c>
      <c r="AA34" s="1810" t="e">
        <f t="shared" si="3"/>
        <v>#N/A</v>
      </c>
      <c r="AB34" s="1810" t="e">
        <f t="shared" si="4"/>
        <v>#N/A</v>
      </c>
      <c r="AC34" s="1810" t="e">
        <f t="shared" si="5"/>
        <v>#N/A</v>
      </c>
    </row>
    <row r="35" spans="1:29" ht="16">
      <c r="A35" s="472"/>
      <c r="B35" s="422" t="s">
        <v>2746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507"/>
      <c r="Q35" s="1809" t="str">
        <f t="shared" ref="Q35:Q40" si="14">B35</f>
        <v>宗地形状</v>
      </c>
      <c r="R35" s="774" t="s">
        <v>17</v>
      </c>
      <c r="S35" s="775">
        <f t="shared" si="10"/>
        <v>100</v>
      </c>
      <c r="T35" s="774" t="s">
        <v>17</v>
      </c>
      <c r="U35" s="775">
        <f t="shared" si="11"/>
        <v>100</v>
      </c>
      <c r="V35" s="774" t="s">
        <v>17</v>
      </c>
      <c r="W35" s="775">
        <f t="shared" si="12"/>
        <v>100</v>
      </c>
      <c r="X35" s="1812"/>
      <c r="Y35" s="3507"/>
      <c r="Z35" s="1813" t="str">
        <f t="shared" si="13"/>
        <v>宗地形状</v>
      </c>
      <c r="AA35" s="1810">
        <f t="shared" si="3"/>
        <v>1</v>
      </c>
      <c r="AB35" s="1810">
        <f t="shared" si="4"/>
        <v>1</v>
      </c>
      <c r="AC35" s="1810">
        <f t="shared" si="5"/>
        <v>1</v>
      </c>
    </row>
    <row r="36" spans="1:29" s="117" customFormat="1" ht="16">
      <c r="A36" s="473"/>
      <c r="B36" s="422" t="s">
        <v>2748</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507"/>
      <c r="Q36" s="1809" t="str">
        <f t="shared" si="14"/>
        <v>宗地开发程度</v>
      </c>
      <c r="R36" s="770" t="s">
        <v>17</v>
      </c>
      <c r="S36" s="771">
        <f t="shared" si="10"/>
        <v>100</v>
      </c>
      <c r="T36" s="770" t="s">
        <v>17</v>
      </c>
      <c r="U36" s="771">
        <f t="shared" si="11"/>
        <v>100</v>
      </c>
      <c r="V36" s="770" t="s">
        <v>17</v>
      </c>
      <c r="W36" s="771">
        <f t="shared" si="12"/>
        <v>100</v>
      </c>
      <c r="X36" s="772"/>
      <c r="Y36" s="3507"/>
      <c r="Z36" s="55" t="str">
        <f t="shared" si="13"/>
        <v>宗地开发程度</v>
      </c>
      <c r="AA36" s="773">
        <f t="shared" si="3"/>
        <v>1</v>
      </c>
      <c r="AB36" s="773">
        <f t="shared" si="4"/>
        <v>1</v>
      </c>
      <c r="AC36" s="773">
        <f t="shared" si="5"/>
        <v>1</v>
      </c>
    </row>
    <row r="37" spans="1:29" ht="16">
      <c r="A37" s="472"/>
      <c r="B37" s="422" t="s">
        <v>2749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507" t="s">
        <v>2559</v>
      </c>
      <c r="Q37" s="1809" t="str">
        <f t="shared" si="14"/>
        <v>工程地质条件</v>
      </c>
      <c r="R37" s="774" t="s">
        <v>17</v>
      </c>
      <c r="S37" s="775">
        <f t="shared" si="10"/>
        <v>100</v>
      </c>
      <c r="T37" s="774" t="s">
        <v>17</v>
      </c>
      <c r="U37" s="775">
        <f t="shared" si="11"/>
        <v>100</v>
      </c>
      <c r="V37" s="774" t="s">
        <v>17</v>
      </c>
      <c r="W37" s="775">
        <f t="shared" si="12"/>
        <v>100</v>
      </c>
      <c r="X37" s="1812"/>
      <c r="Y37" s="3507" t="s">
        <v>2559</v>
      </c>
      <c r="Z37" s="1813" t="str">
        <f t="shared" si="13"/>
        <v>工程地质条件</v>
      </c>
      <c r="AA37" s="1810">
        <f t="shared" si="3"/>
        <v>1</v>
      </c>
      <c r="AB37" s="1810">
        <f t="shared" si="4"/>
        <v>1</v>
      </c>
      <c r="AC37" s="1810">
        <f t="shared" si="5"/>
        <v>1</v>
      </c>
    </row>
    <row r="38" spans="1:29" ht="16">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507"/>
      <c r="Q38" s="1809">
        <f t="shared" si="14"/>
        <v>111</v>
      </c>
      <c r="R38" s="774" t="s">
        <v>17</v>
      </c>
      <c r="S38" s="775">
        <f t="shared" si="10"/>
        <v>100</v>
      </c>
      <c r="T38" s="774" t="s">
        <v>17</v>
      </c>
      <c r="U38" s="775">
        <f t="shared" si="11"/>
        <v>100</v>
      </c>
      <c r="V38" s="774" t="s">
        <v>17</v>
      </c>
      <c r="W38" s="775">
        <f t="shared" si="12"/>
        <v>100</v>
      </c>
      <c r="X38" s="1812"/>
      <c r="Y38" s="3507"/>
      <c r="Z38" s="1813">
        <f t="shared" si="13"/>
        <v>111</v>
      </c>
      <c r="AA38" s="1810">
        <f t="shared" si="3"/>
        <v>1</v>
      </c>
      <c r="AB38" s="1810">
        <f t="shared" si="4"/>
        <v>1</v>
      </c>
      <c r="AC38" s="1810">
        <f t="shared" si="5"/>
        <v>1</v>
      </c>
    </row>
    <row r="39" spans="1:29" ht="16">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507"/>
      <c r="Q39" s="1809">
        <f t="shared" si="14"/>
        <v>111</v>
      </c>
      <c r="R39" s="774" t="s">
        <v>17</v>
      </c>
      <c r="S39" s="775">
        <f t="shared" si="10"/>
        <v>100</v>
      </c>
      <c r="T39" s="774" t="s">
        <v>17</v>
      </c>
      <c r="U39" s="775">
        <f t="shared" si="11"/>
        <v>100</v>
      </c>
      <c r="V39" s="774" t="s">
        <v>17</v>
      </c>
      <c r="W39" s="775">
        <f t="shared" si="12"/>
        <v>100</v>
      </c>
      <c r="X39" s="1812"/>
      <c r="Y39" s="3507"/>
      <c r="Z39" s="1813">
        <f t="shared" si="13"/>
        <v>111</v>
      </c>
      <c r="AA39" s="1810">
        <f t="shared" si="3"/>
        <v>1</v>
      </c>
      <c r="AB39" s="1810">
        <f t="shared" si="4"/>
        <v>1</v>
      </c>
      <c r="AC39" s="1810">
        <f t="shared" si="5"/>
        <v>1</v>
      </c>
    </row>
    <row r="40" spans="1:29" s="471" customFormat="1" ht="17"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507"/>
      <c r="Q40" s="1809">
        <f t="shared" si="14"/>
        <v>111</v>
      </c>
      <c r="R40" s="777" t="s">
        <v>17</v>
      </c>
      <c r="S40" s="778">
        <f t="shared" si="10"/>
        <v>100</v>
      </c>
      <c r="T40" s="777" t="s">
        <v>17</v>
      </c>
      <c r="U40" s="778">
        <f t="shared" si="11"/>
        <v>100</v>
      </c>
      <c r="V40" s="777" t="s">
        <v>17</v>
      </c>
      <c r="W40" s="778">
        <f t="shared" si="12"/>
        <v>100</v>
      </c>
      <c r="X40" s="779"/>
      <c r="Y40" s="3507"/>
      <c r="Z40" s="780">
        <f t="shared" si="13"/>
        <v>111</v>
      </c>
      <c r="AA40" s="1810">
        <f t="shared" si="3"/>
        <v>1</v>
      </c>
      <c r="AB40" s="1810">
        <f t="shared" si="4"/>
        <v>1</v>
      </c>
      <c r="AC40" s="1810">
        <f t="shared" si="5"/>
        <v>1</v>
      </c>
    </row>
    <row r="41" spans="1:29" ht="15">
      <c r="A41" s="479" t="s">
        <v>2714</v>
      </c>
      <c r="B41" s="2704" t="s">
        <v>2794</v>
      </c>
      <c r="C41" s="682" t="s">
        <v>1</v>
      </c>
      <c r="D41" s="481"/>
      <c r="E41" s="482"/>
      <c r="F41" s="483"/>
      <c r="G41" s="484"/>
      <c r="H41" s="485"/>
      <c r="I41" s="482"/>
      <c r="J41" s="485"/>
      <c r="K41" s="783"/>
      <c r="L41" s="1143"/>
      <c r="M41" s="1131"/>
      <c r="N41" s="1131"/>
      <c r="O41" s="1144"/>
      <c r="P41" s="3489" t="str">
        <f>A41</f>
        <v>成交单价</v>
      </c>
      <c r="Q41" s="3489"/>
      <c r="R41" s="3502">
        <f>E41</f>
        <v>0</v>
      </c>
      <c r="S41" s="3502"/>
      <c r="T41" s="3502">
        <f>G41</f>
        <v>0</v>
      </c>
      <c r="U41" s="3502"/>
      <c r="V41" s="3502">
        <f>I41</f>
        <v>0</v>
      </c>
      <c r="W41" s="3502"/>
      <c r="X41" s="759"/>
      <c r="Y41" s="781"/>
      <c r="Z41" s="759"/>
      <c r="AA41" s="759"/>
      <c r="AB41" s="759"/>
      <c r="AC41" s="759"/>
    </row>
    <row r="42" spans="1:29" ht="1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489" t="str">
        <f>A42</f>
        <v>比较价值（元/平方米）</v>
      </c>
      <c r="Q42" s="3489"/>
      <c r="R42" s="3508" t="e">
        <f>ROUND(PRODUCT(R41,AA7:AA40),0)</f>
        <v>#DIV/0!</v>
      </c>
      <c r="S42" s="3508"/>
      <c r="T42" s="3508" t="e">
        <f>ROUND(PRODUCT(T41,AB7:AB40),0)</f>
        <v>#DIV/0!</v>
      </c>
      <c r="U42" s="3508"/>
      <c r="V42" s="3508" t="e">
        <f>ROUND(PRODUCT(V41,AC7:AC40),0)</f>
        <v>#DIV/0!</v>
      </c>
      <c r="W42" s="3508"/>
      <c r="X42" s="759"/>
      <c r="Y42" s="759"/>
      <c r="Z42" s="759"/>
      <c r="AA42" s="759"/>
      <c r="AB42" s="759"/>
      <c r="AC42" s="759"/>
    </row>
    <row r="43" spans="1:29" ht="15" thickBot="1">
      <c r="A43" s="492" t="s">
        <v>2664</v>
      </c>
      <c r="B43" s="493"/>
      <c r="C43" s="494" t="e">
        <f>R43</f>
        <v>#DIV/0!</v>
      </c>
      <c r="D43" s="494"/>
      <c r="E43" s="494"/>
      <c r="F43" s="494"/>
      <c r="G43" s="494"/>
      <c r="H43" s="494"/>
      <c r="I43" s="494"/>
      <c r="J43" s="494"/>
      <c r="K43" s="785"/>
      <c r="L43" s="1143"/>
      <c r="M43" s="1131"/>
      <c r="N43" s="1131"/>
      <c r="O43" s="1144"/>
      <c r="P43" s="3509" t="str">
        <f>A43</f>
        <v>估价对象XX用房的比较价值（楼面单价，元/平方米）</v>
      </c>
      <c r="Q43" s="3510"/>
      <c r="R43" s="3511" t="e">
        <f>ROUND(AVERAGE(R42:V42),0)</f>
        <v>#DIV/0!</v>
      </c>
      <c r="S43" s="3511"/>
      <c r="T43" s="3511"/>
      <c r="U43" s="3511"/>
      <c r="V43" s="3511"/>
      <c r="W43" s="351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30">
      <c r="A50" s="684" t="s">
        <v>2752</v>
      </c>
      <c r="B50" s="685" t="s">
        <v>2753</v>
      </c>
      <c r="C50" s="2705" t="s">
        <v>2754</v>
      </c>
      <c r="D50" s="2706" t="s">
        <v>2755</v>
      </c>
      <c r="E50" s="686" t="s">
        <v>2756</v>
      </c>
      <c r="F50" s="687" t="s">
        <v>2757</v>
      </c>
      <c r="G50" s="3490" t="s">
        <v>2758</v>
      </c>
      <c r="H50" s="3512"/>
      <c r="I50" s="1813" t="s">
        <v>2795</v>
      </c>
      <c r="J50" s="1813">
        <f>项目基本情况!F35</f>
        <v>0</v>
      </c>
      <c r="K50" s="2708" t="s">
        <v>2760</v>
      </c>
      <c r="L50" s="1106"/>
      <c r="M50" s="1144"/>
      <c r="N50" s="1144"/>
      <c r="O50" s="1144"/>
    </row>
    <row r="51" spans="1:17" s="692" customFormat="1">
      <c r="A51" s="688" t="s">
        <v>2761</v>
      </c>
      <c r="B51" s="689" t="e">
        <f>C43</f>
        <v>#DIV/0!</v>
      </c>
      <c r="C51" s="690">
        <v>1</v>
      </c>
      <c r="D51" s="1163">
        <v>1</v>
      </c>
      <c r="E51" s="690">
        <f>'数据-汇总表'!E8+'数据-汇总表'!E9</f>
        <v>518594.9009999999</v>
      </c>
      <c r="F51" s="691" t="e">
        <f t="shared" ref="F51:F60" si="15">ROUND(B51*E51/10000,0)</f>
        <v>#DIV/0!</v>
      </c>
      <c r="G51" s="3513"/>
      <c r="H51" s="3489"/>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514"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514"/>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514"/>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514"/>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9"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465742.42000000004</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9"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10"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1025</v>
      </c>
      <c r="E61" s="696">
        <f>IF(B41="楼面地价",SUM(E51:E60),'数据-汇总表'!D3)</f>
        <v>535778.54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1" t="s">
        <v>2776</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6" t="s">
        <v>2796</v>
      </c>
      <c r="B66" s="332" t="str">
        <f>"北京市平均增长率"&amp;TEXT(基准地价修正!P24,"0.00%")</f>
        <v>北京市平均增长率1.33%</v>
      </c>
      <c r="C66" s="603">
        <v>100</v>
      </c>
      <c r="D66" s="595"/>
      <c r="E66" s="595"/>
      <c r="F66" s="595"/>
      <c r="G66" s="595"/>
      <c r="H66" s="595"/>
      <c r="I66" s="595"/>
      <c r="J66" s="595"/>
      <c r="K66" s="595"/>
      <c r="L66" s="595"/>
      <c r="M66" s="1567"/>
      <c r="N66" s="1567"/>
      <c r="O66" s="1568"/>
      <c r="P66" s="504"/>
    </row>
    <row r="67" spans="1:17" s="117" customFormat="1" ht="1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 thickBot="1">
      <c r="A69" s="521"/>
      <c r="B69" s="510"/>
      <c r="C69" s="639">
        <v>100</v>
      </c>
      <c r="D69" s="512"/>
      <c r="E69" s="512"/>
      <c r="F69" s="512"/>
      <c r="G69" s="512"/>
      <c r="H69" s="512"/>
      <c r="I69" s="512"/>
      <c r="J69" s="512"/>
      <c r="K69" s="512"/>
      <c r="L69" s="512"/>
      <c r="M69" s="514"/>
      <c r="N69" s="1151"/>
      <c r="O69" s="1151"/>
      <c r="P69" s="504"/>
      <c r="Q69" s="504"/>
    </row>
    <row r="70" spans="1:17" ht="15">
      <c r="A70" s="527" t="s">
        <v>2582</v>
      </c>
      <c r="B70" s="528" t="s">
        <v>2548</v>
      </c>
      <c r="C70" s="530"/>
      <c r="D70" s="530"/>
      <c r="E70" s="530"/>
      <c r="F70" s="530"/>
      <c r="G70" s="530"/>
      <c r="H70" s="530"/>
      <c r="I70" s="530"/>
      <c r="J70" s="530"/>
      <c r="K70" s="531"/>
      <c r="L70" s="532"/>
      <c r="M70" s="533"/>
      <c r="N70" s="1152"/>
      <c r="O70" s="1152"/>
      <c r="P70" s="45"/>
      <c r="Q70" s="504"/>
    </row>
    <row r="71" spans="1:17" ht="15" thickBot="1">
      <c r="A71" s="534"/>
      <c r="B71" s="535"/>
      <c r="C71" s="536"/>
      <c r="D71" s="536"/>
      <c r="E71" s="536"/>
      <c r="F71" s="536"/>
      <c r="G71" s="536"/>
      <c r="H71" s="536"/>
      <c r="I71" s="536"/>
      <c r="J71" s="536"/>
      <c r="K71" s="536"/>
      <c r="L71" s="536"/>
      <c r="M71" s="537"/>
      <c r="N71" s="1153"/>
      <c r="O71" s="1153"/>
      <c r="P71" s="45"/>
      <c r="Q71" s="504"/>
    </row>
    <row r="72" spans="1:17" ht="31" thickTop="1">
      <c r="A72" s="534"/>
      <c r="B72" s="538" t="s">
        <v>2551</v>
      </c>
      <c r="C72" s="539"/>
      <c r="D72" s="539"/>
      <c r="E72" s="539"/>
      <c r="F72" s="539"/>
      <c r="G72" s="539"/>
      <c r="H72" s="539"/>
      <c r="I72" s="539"/>
      <c r="J72" s="539"/>
      <c r="K72" s="540"/>
      <c r="L72" s="541"/>
      <c r="M72" s="542"/>
      <c r="N72" s="1152"/>
      <c r="O72" s="1152"/>
      <c r="P72" s="45"/>
      <c r="Q72" s="504"/>
    </row>
    <row r="73" spans="1:17" ht="15" thickBot="1">
      <c r="A73" s="534"/>
      <c r="B73" s="543"/>
      <c r="C73" s="544"/>
      <c r="D73" s="544"/>
      <c r="E73" s="544"/>
      <c r="F73" s="544"/>
      <c r="G73" s="544"/>
      <c r="H73" s="544"/>
      <c r="I73" s="544"/>
      <c r="J73" s="544"/>
      <c r="K73" s="544"/>
      <c r="L73" s="544"/>
      <c r="M73" s="545"/>
      <c r="N73" s="1153"/>
      <c r="O73" s="1153"/>
      <c r="P73" s="45"/>
      <c r="Q73" s="504"/>
    </row>
    <row r="74" spans="1:17" ht="16"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 thickTop="1">
      <c r="A77" s="553"/>
      <c r="B77" s="538">
        <f>B12</f>
        <v>111</v>
      </c>
      <c r="C77" s="554"/>
      <c r="D77" s="554"/>
      <c r="E77" s="554"/>
      <c r="F77" s="554"/>
      <c r="G77" s="554"/>
      <c r="H77" s="555"/>
      <c r="I77" s="555"/>
      <c r="J77" s="555"/>
      <c r="K77" s="555"/>
      <c r="L77" s="556"/>
      <c r="M77" s="557"/>
      <c r="N77" s="1154"/>
      <c r="O77" s="1154"/>
      <c r="P77" s="558"/>
      <c r="Q77" s="559"/>
    </row>
    <row r="78" spans="1:17" s="471" customFormat="1" ht="15" thickBot="1">
      <c r="A78" s="553"/>
      <c r="B78" s="543"/>
      <c r="C78" s="560"/>
      <c r="D78" s="536"/>
      <c r="E78" s="536"/>
      <c r="F78" s="536"/>
      <c r="G78" s="536"/>
      <c r="H78" s="536"/>
      <c r="I78" s="536"/>
      <c r="J78" s="536"/>
      <c r="K78" s="536"/>
      <c r="L78" s="536"/>
      <c r="M78" s="537"/>
      <c r="N78" s="1153"/>
      <c r="O78" s="1153"/>
      <c r="P78" s="558"/>
      <c r="Q78" s="559"/>
    </row>
    <row r="79" spans="1:17" s="471" customFormat="1" ht="15" thickTop="1">
      <c r="A79" s="553"/>
      <c r="B79" s="538">
        <f>B13</f>
        <v>111</v>
      </c>
      <c r="C79" s="554"/>
      <c r="D79" s="554"/>
      <c r="E79" s="554"/>
      <c r="F79" s="554"/>
      <c r="G79" s="554"/>
      <c r="H79" s="555"/>
      <c r="I79" s="555"/>
      <c r="J79" s="555"/>
      <c r="K79" s="555"/>
      <c r="L79" s="556"/>
      <c r="M79" s="557"/>
      <c r="N79" s="1154"/>
      <c r="O79" s="1154"/>
      <c r="P79" s="470"/>
      <c r="Q79" s="561"/>
    </row>
    <row r="80" spans="1:17" s="471" customFormat="1" ht="15" thickBot="1">
      <c r="A80" s="553"/>
      <c r="B80" s="543"/>
      <c r="C80" s="560"/>
      <c r="D80" s="560"/>
      <c r="E80" s="560"/>
      <c r="F80" s="560"/>
      <c r="G80" s="560"/>
      <c r="H80" s="562"/>
      <c r="I80" s="562"/>
      <c r="J80" s="562"/>
      <c r="K80" s="562"/>
      <c r="L80" s="562"/>
      <c r="M80" s="563"/>
      <c r="N80" s="1154"/>
      <c r="O80" s="1154"/>
      <c r="P80" s="558"/>
      <c r="Q80" s="559"/>
    </row>
    <row r="81" spans="1:17" s="471" customFormat="1" ht="15" thickTop="1">
      <c r="A81" s="553"/>
      <c r="B81" s="546">
        <f>B14</f>
        <v>111</v>
      </c>
      <c r="C81" s="523"/>
      <c r="D81" s="523"/>
      <c r="E81" s="523"/>
      <c r="F81" s="523"/>
      <c r="G81" s="523"/>
      <c r="H81" s="564"/>
      <c r="I81" s="564"/>
      <c r="J81" s="564"/>
      <c r="K81" s="564"/>
      <c r="L81" s="565"/>
      <c r="M81" s="566"/>
      <c r="N81" s="1154"/>
      <c r="O81" s="1154"/>
      <c r="P81" s="567"/>
      <c r="Q81" s="559"/>
    </row>
    <row r="82" spans="1:17" s="471" customFormat="1" ht="15" thickBot="1">
      <c r="A82" s="568"/>
      <c r="B82" s="569"/>
      <c r="C82" s="570"/>
      <c r="D82" s="570"/>
      <c r="E82" s="570"/>
      <c r="F82" s="570"/>
      <c r="G82" s="570"/>
      <c r="H82" s="571"/>
      <c r="I82" s="571"/>
      <c r="J82" s="571"/>
      <c r="K82" s="571"/>
      <c r="L82" s="571"/>
      <c r="M82" s="572"/>
      <c r="N82" s="1154"/>
      <c r="O82" s="1154"/>
      <c r="P82" s="558"/>
      <c r="Q82" s="559"/>
    </row>
    <row r="83" spans="1:17" ht="15">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6"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6"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31"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6"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6"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6"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31" thickTop="1">
      <c r="A97" s="534"/>
      <c r="B97" s="538" t="s">
        <v>2685</v>
      </c>
      <c r="C97" s="554"/>
      <c r="D97" s="554"/>
      <c r="E97" s="554"/>
      <c r="F97" s="554"/>
      <c r="G97" s="554"/>
      <c r="H97" s="583"/>
      <c r="I97" s="583"/>
      <c r="J97" s="583"/>
      <c r="K97" s="584"/>
      <c r="L97" s="585"/>
      <c r="M97" s="586"/>
      <c r="N97" s="1152"/>
      <c r="O97" s="1152"/>
      <c r="P97" s="45"/>
      <c r="Q97" s="504"/>
    </row>
    <row r="98" spans="1:17" ht="1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6" thickTop="1">
      <c r="A99" s="534"/>
      <c r="B99" s="538" t="s">
        <v>2744</v>
      </c>
      <c r="C99" s="583"/>
      <c r="D99" s="583"/>
      <c r="E99" s="583"/>
      <c r="F99" s="583"/>
      <c r="G99" s="583"/>
      <c r="H99" s="583"/>
      <c r="I99" s="583"/>
      <c r="J99" s="583"/>
      <c r="K99" s="584"/>
      <c r="L99" s="585"/>
      <c r="M99" s="586"/>
      <c r="N99" s="1152"/>
      <c r="O99" s="1152"/>
      <c r="P99" s="45"/>
      <c r="Q99" s="504"/>
    </row>
    <row r="100" spans="1:17" ht="1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 thickTop="1">
      <c r="A101" s="534"/>
      <c r="B101" s="546">
        <f>B31</f>
        <v>111</v>
      </c>
      <c r="C101" s="554"/>
      <c r="D101" s="554"/>
      <c r="E101" s="554"/>
      <c r="F101" s="554"/>
      <c r="G101" s="587"/>
      <c r="H101" s="587"/>
      <c r="I101" s="587"/>
      <c r="J101" s="587"/>
      <c r="K101" s="588"/>
      <c r="L101" s="589"/>
      <c r="M101" s="590"/>
      <c r="N101" s="1152"/>
      <c r="O101" s="1152"/>
      <c r="P101" s="45"/>
      <c r="Q101" s="504"/>
    </row>
    <row r="102" spans="1:17" ht="1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 thickBot="1">
      <c r="A106" s="553"/>
      <c r="B106" s="546"/>
      <c r="C106" s="570"/>
      <c r="D106" s="570"/>
      <c r="E106" s="570"/>
      <c r="F106" s="570"/>
      <c r="G106" s="677"/>
      <c r="H106" s="677"/>
      <c r="I106" s="677"/>
      <c r="J106" s="677"/>
      <c r="K106" s="677"/>
      <c r="L106" s="677"/>
      <c r="M106" s="699"/>
      <c r="N106" s="1153"/>
      <c r="O106" s="1153"/>
      <c r="P106" s="558"/>
      <c r="Q106" s="559"/>
    </row>
    <row r="107" spans="1:17" ht="15">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5" thickBot="1">
      <c r="A109" s="534"/>
      <c r="B109" s="543"/>
      <c r="C109" s="570"/>
      <c r="D109" s="591"/>
      <c r="E109" s="591"/>
      <c r="F109" s="591"/>
      <c r="G109" s="591"/>
      <c r="H109" s="591"/>
      <c r="I109" s="591"/>
      <c r="J109" s="591"/>
      <c r="K109" s="591"/>
      <c r="L109" s="591"/>
      <c r="M109" s="592"/>
      <c r="N109" s="1153"/>
      <c r="O109" s="1153"/>
      <c r="P109" s="45"/>
      <c r="Q109" s="504"/>
    </row>
    <row r="110" spans="1:17" ht="16" thickTop="1">
      <c r="A110" s="599"/>
      <c r="B110" s="538" t="s">
        <v>2786</v>
      </c>
      <c r="C110" s="583"/>
      <c r="D110" s="583"/>
      <c r="E110" s="583"/>
      <c r="F110" s="583"/>
      <c r="G110" s="583"/>
      <c r="H110" s="583"/>
      <c r="I110" s="583"/>
      <c r="J110" s="583"/>
      <c r="K110" s="584"/>
      <c r="L110" s="585"/>
      <c r="M110" s="586"/>
      <c r="N110" s="1152"/>
      <c r="O110" s="1152"/>
      <c r="P110" s="45"/>
      <c r="Q110" s="504"/>
    </row>
    <row r="111" spans="1:17" ht="1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6"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6" thickTop="1">
      <c r="A114" s="599"/>
      <c r="B114" s="538" t="s">
        <v>2789</v>
      </c>
      <c r="C114" s="554"/>
      <c r="D114" s="554"/>
      <c r="E114" s="583"/>
      <c r="F114" s="583"/>
      <c r="G114" s="583"/>
      <c r="H114" s="583"/>
      <c r="I114" s="583"/>
      <c r="J114" s="583"/>
      <c r="K114" s="584"/>
      <c r="L114" s="585"/>
      <c r="M114" s="586"/>
      <c r="N114" s="1152"/>
      <c r="O114" s="1152"/>
      <c r="P114" s="45"/>
      <c r="Q114" s="504"/>
    </row>
    <row r="115" spans="1:17" ht="1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C00-000000000000}">
      <formula1>单价内涵</formula1>
    </dataValidation>
    <dataValidation type="list" allowBlank="1" showInputMessage="1" showErrorMessage="1" sqref="C22 E22 G22 I22" xr:uid="{00000000-0002-0000-2C00-000001000000}">
      <formula1>环境</formula1>
    </dataValidation>
    <dataValidation type="list" allowBlank="1" showInputMessage="1" showErrorMessage="1" sqref="E18 C18 G18 I18" xr:uid="{00000000-0002-0000-2C00-000002000000}">
      <formula1>交通便捷度</formula1>
    </dataValidation>
    <dataValidation type="list" allowBlank="1" showInputMessage="1" showErrorMessage="1" sqref="E24 C24 G24 I24" xr:uid="{00000000-0002-0000-2C00-000003000000}">
      <formula1>公共配套设施</formula1>
    </dataValidation>
    <dataValidation type="list" allowBlank="1" showInputMessage="1" showErrorMessage="1" sqref="C8 E8 G8 I8" xr:uid="{00000000-0002-0000-2C00-000004000000}">
      <formula1>套工交易情况</formula1>
    </dataValidation>
    <dataValidation type="list" allowBlank="1" showInputMessage="1" showErrorMessage="1" sqref="C9 E9 G9 I9" xr:uid="{00000000-0002-0000-2C00-000005000000}">
      <formula1>套工用途</formula1>
    </dataValidation>
    <dataValidation type="list" allowBlank="1" showInputMessage="1" showErrorMessage="1" sqref="I30 E30 G30" xr:uid="{00000000-0002-0000-2C00-000006000000}">
      <formula1>套工土地级别</formula1>
    </dataValidation>
    <dataValidation type="list" allowBlank="1" showInputMessage="1" showErrorMessage="1" sqref="C27 E27 G27 I27" xr:uid="{00000000-0002-0000-2C00-000007000000}">
      <formula1>临街状况</formula1>
    </dataValidation>
    <dataValidation type="list" allowBlank="1" showInputMessage="1" showErrorMessage="1" sqref="E20 G20 I20 C20" xr:uid="{00000000-0002-0000-2C00-000008000000}">
      <formula1>区域土地利用方向</formula1>
    </dataValidation>
    <dataValidation type="list" allowBlank="1" showInputMessage="1" showErrorMessage="1" sqref="C50" xr:uid="{00000000-0002-0000-2C00-000009000000}">
      <formula1>"北京市系数,其他省市系数"</formula1>
    </dataValidation>
    <dataValidation type="list" allowBlank="1" showInputMessage="1" showErrorMessage="1" sqref="C16 E16 G16 I16" xr:uid="{00000000-0002-0000-2C00-00000A000000}">
      <formula1>产业集聚程度</formula1>
    </dataValidation>
    <dataValidation type="list" allowBlank="1" showInputMessage="1" showErrorMessage="1" sqref="C29 E29 G29 I29" xr:uid="{00000000-0002-0000-2C00-00000B000000}">
      <formula1>套工道路等级</formula1>
    </dataValidation>
    <dataValidation type="list" allowBlank="1" showInputMessage="1" showErrorMessage="1" sqref="C35 E35 G35 I35" xr:uid="{00000000-0002-0000-2C00-00000C000000}">
      <formula1>套工宗地形状</formula1>
    </dataValidation>
    <dataValidation type="list" allowBlank="1" showInputMessage="1" showErrorMessage="1" sqref="C36 E36 G36 I36" xr:uid="{00000000-0002-0000-2C00-00000D000000}">
      <formula1>套工宗地开发程度</formula1>
    </dataValidation>
    <dataValidation type="list" allowBlank="1" showInputMessage="1" showErrorMessage="1" sqref="C37 E37 G37 I37" xr:uid="{00000000-0002-0000-2C00-00000E000000}">
      <formula1>套工地质条件</formula1>
    </dataValidation>
    <dataValidation type="list" allowBlank="1" showInputMessage="1" showErrorMessage="1" sqref="G58" xr:uid="{00000000-0002-0000-2C00-00000F000000}">
      <formula1>"住宅,工业"</formula1>
    </dataValidation>
    <dataValidation type="list" allowBlank="1" showInputMessage="1" showErrorMessage="1" sqref="G57" xr:uid="{00000000-0002-0000-2C00-000010000000}">
      <formula1>"商业,办公,住宅,工业"</formula1>
    </dataValidation>
    <dataValidation type="list" allowBlank="1" showInputMessage="1" showErrorMessage="1" sqref="D52:D60" xr:uid="{00000000-0002-0000-2C00-000011000000}">
      <formula1>"25%,1"</formula1>
    </dataValidation>
    <dataValidation type="list" allowBlank="1" showInputMessage="1" showErrorMessage="1" sqref="C26 E26 G26 I26" xr:uid="{00000000-0002-0000-2C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18"/>
  <sheetViews>
    <sheetView zoomScale="80" zoomScaleNormal="80" zoomScaleSheetLayoutView="96" workbookViewId="0">
      <selection activeCell="R43" sqref="R43:W43"/>
    </sheetView>
  </sheetViews>
  <sheetFormatPr baseColWidth="10" defaultColWidth="12" defaultRowHeight="13"/>
  <cols>
    <col min="1" max="1" width="9.83203125" style="2788" customWidth="1"/>
    <col min="2" max="2" width="19.1640625" style="2894" customWidth="1"/>
    <col min="3" max="4" width="12" style="2720"/>
    <col min="5" max="5" width="14.6640625" style="2720" customWidth="1"/>
    <col min="6" max="8" width="12" style="2720"/>
    <col min="9" max="9" width="12.1640625" style="2720" bestFit="1" customWidth="1"/>
    <col min="10" max="10" width="12" style="2720"/>
    <col min="11" max="11" width="8.1640625" style="2783" customWidth="1"/>
    <col min="12" max="12" width="12" style="2720"/>
    <col min="13" max="13" width="8.5" style="2720" customWidth="1"/>
    <col min="14" max="14" width="9.83203125" style="2720" customWidth="1"/>
    <col min="15" max="25" width="12" style="2720"/>
    <col min="26" max="26" width="9.33203125" style="2788" customWidth="1"/>
    <col min="27" max="32" width="9.33203125" style="1372" customWidth="1"/>
    <col min="33" max="36" width="9.33203125" style="2788" customWidth="1"/>
    <col min="37" max="38" width="9.33203125" style="2720" customWidth="1"/>
    <col min="39" max="16384" width="12" style="2720"/>
  </cols>
  <sheetData>
    <row r="1" spans="1:36" ht="32">
      <c r="A1" s="240" t="s">
        <v>2798</v>
      </c>
      <c r="B1" s="241"/>
      <c r="C1" s="245" t="s">
        <v>2799</v>
      </c>
      <c r="D1" s="388">
        <f>SUM(D29:D30,D33:D39)</f>
        <v>0</v>
      </c>
      <c r="E1" s="2717"/>
      <c r="F1" s="2717"/>
      <c r="G1" s="2717"/>
      <c r="H1" s="2717"/>
      <c r="I1" s="2717"/>
      <c r="J1" s="2717"/>
      <c r="K1" s="1370"/>
      <c r="L1" s="2718" t="s">
        <v>2800</v>
      </c>
      <c r="M1" s="1080">
        <f>SUMPRODUCT((区片价!B5:B9=I2)*(区片价!C3:F3=E2)*(区片价!C5:F9))</f>
        <v>0</v>
      </c>
      <c r="N1" s="1083">
        <f>SUMPRODUCT((因素修正幅度!B5:B9=I2)*(因素修正幅度!C3:F3=E2)*(因素修正幅度!C5:F9))</f>
        <v>0</v>
      </c>
      <c r="O1" s="2719"/>
      <c r="P1" s="2719"/>
      <c r="Q1" s="1370"/>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6">
      <c r="A2" s="245" t="s">
        <v>2806</v>
      </c>
      <c r="B2" s="248" t="e">
        <f>C26</f>
        <v>#DIV/0!</v>
      </c>
      <c r="C2" s="2721" t="s">
        <v>2807</v>
      </c>
      <c r="D2" s="2722" t="s">
        <v>2808</v>
      </c>
      <c r="E2" s="2723"/>
      <c r="F2" s="2722" t="s">
        <v>2809</v>
      </c>
      <c r="G2" s="2724">
        <f>IF(E2="商业",项目基本情况!B37,IF(E2="办公",项目基本情况!C37,IF(E2="住宅",项目基本情况!D37,项目基本情况!E37)))</f>
        <v>0</v>
      </c>
      <c r="H2" s="2722" t="s">
        <v>2810</v>
      </c>
      <c r="I2" s="2724">
        <f>IF(E2="商业",项目基本情况!B38,IF(E2="办公",项目基本情况!C38,IF(E2="住宅",项目基本情况!D38,项目基本情况!E38)))</f>
        <v>0</v>
      </c>
      <c r="J2" s="2725"/>
      <c r="K2" s="1370"/>
      <c r="L2" s="2726" t="s">
        <v>2811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6">
      <c r="A3" s="247" t="s">
        <v>2812</v>
      </c>
      <c r="B3" s="248" t="e">
        <f>ROUND(B2*10000/D1,0)</f>
        <v>#DIV/0!</v>
      </c>
      <c r="C3" s="2721" t="s">
        <v>2813</v>
      </c>
      <c r="D3" s="2722" t="s">
        <v>2814</v>
      </c>
      <c r="E3" s="2727"/>
      <c r="F3" s="2728" t="s">
        <v>2815</v>
      </c>
      <c r="G3" s="916">
        <f>IF(F3="宗地容积率",'数据-汇总表'!I4,IF(F3="估价对象容积率",'数据-汇总表'!I6,'数据-汇总表'!I7))</f>
        <v>1.02</v>
      </c>
      <c r="H3" s="198" t="s">
        <v>2816</v>
      </c>
      <c r="I3" s="944"/>
      <c r="J3" s="2725" t="s">
        <v>2817</v>
      </c>
      <c r="K3" s="1370"/>
      <c r="L3" s="2726" t="s">
        <v>2818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6">
      <c r="A4" s="3585"/>
      <c r="B4" s="3586"/>
      <c r="C4" s="3586"/>
      <c r="D4" s="3587"/>
      <c r="E4" s="3587"/>
      <c r="F4" s="3587"/>
      <c r="G4" s="3587"/>
      <c r="H4" s="3587"/>
      <c r="I4" s="3587"/>
      <c r="J4" s="3588"/>
      <c r="K4" s="1370"/>
      <c r="L4" s="2726" t="s">
        <v>2819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7" thickBot="1">
      <c r="A5" s="2729" t="s">
        <v>807</v>
      </c>
      <c r="B5" s="2730" t="s">
        <v>2820</v>
      </c>
      <c r="C5" s="917" t="e">
        <f>ROUND(IF(E2="商业",C6*C7+C16,(IF(E2="住宅",C6*C12+C16,C6+C16))),0)</f>
        <v>#DIV/0!</v>
      </c>
      <c r="D5" s="1786" t="e">
        <f>ROUND(C6+C16,0)</f>
        <v>#DIV/0!</v>
      </c>
      <c r="E5" s="1786"/>
      <c r="F5" s="2731"/>
      <c r="G5" s="2732"/>
      <c r="H5" s="2732"/>
      <c r="I5" s="2732"/>
      <c r="J5" s="2733"/>
      <c r="K5" s="2734"/>
      <c r="L5" s="2726" t="s">
        <v>2821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7" thickBot="1">
      <c r="A6" s="2739" t="s">
        <v>2822</v>
      </c>
      <c r="B6" s="2740" t="s">
        <v>2823</v>
      </c>
      <c r="C6" s="918">
        <f>SUMIF(L1:L12,G2,M1:M12)</f>
        <v>0</v>
      </c>
      <c r="D6" s="2741" t="s">
        <v>2824</v>
      </c>
      <c r="E6" s="2742"/>
      <c r="F6" s="2742"/>
      <c r="G6" s="2743"/>
      <c r="H6" s="2743"/>
      <c r="I6" s="2743"/>
      <c r="J6" s="2744"/>
      <c r="K6" s="1841"/>
      <c r="L6" s="2726" t="s">
        <v>2825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30">
      <c r="A7" s="3569" t="str">
        <f>IF(E2="商业",IF(C8="不临58条商业街","",2),"")</f>
        <v/>
      </c>
      <c r="B7" s="2745" t="s">
        <v>2826</v>
      </c>
      <c r="C7" s="919" t="e">
        <f>IF(C8="不临58条商业街",1,ROUND(1+(1.6*E8+1.2*E9+0.8*E10+0.4*E11)*C9,4))</f>
        <v>#DIV/0!</v>
      </c>
      <c r="D7" s="2746" t="s">
        <v>2827</v>
      </c>
      <c r="E7" s="945"/>
      <c r="F7" s="2747"/>
      <c r="G7" s="2748"/>
      <c r="H7" s="2748"/>
      <c r="I7" s="2748"/>
      <c r="J7" s="2749"/>
      <c r="K7" s="1841"/>
      <c r="L7" s="2726" t="s">
        <v>2828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1.02</v>
      </c>
      <c r="AA7" s="1605"/>
      <c r="AB7" s="1605"/>
      <c r="AC7" s="1606"/>
      <c r="AD7" s="1607"/>
      <c r="AE7" s="1607"/>
      <c r="AF7" s="1607"/>
      <c r="AG7" s="1607"/>
      <c r="AH7" s="1607"/>
      <c r="AI7" s="1607"/>
      <c r="AJ7" s="1608"/>
    </row>
    <row r="8" spans="1:36" ht="16">
      <c r="A8" s="3589"/>
      <c r="B8" s="198" t="s">
        <v>2831</v>
      </c>
      <c r="C8" s="2750"/>
      <c r="D8" s="920" t="s">
        <v>139</v>
      </c>
      <c r="E8" s="921" t="e">
        <f>ROUND(C11/E7,4)</f>
        <v>#DIV/0!</v>
      </c>
      <c r="F8" s="2751" t="s">
        <v>2832</v>
      </c>
      <c r="G8" s="2752"/>
      <c r="H8" s="2752"/>
      <c r="I8" s="2752"/>
      <c r="J8" s="2753"/>
      <c r="K8" s="1370"/>
      <c r="L8" s="2726" t="s">
        <v>2833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582" t="s">
        <v>2834</v>
      </c>
      <c r="X8" s="3583"/>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6">
      <c r="A9" s="3589"/>
      <c r="B9" s="198" t="s">
        <v>2847</v>
      </c>
      <c r="C9" s="922">
        <f>SUMIF(修正!C59:C119,C8,修正!E59:E119)</f>
        <v>0</v>
      </c>
      <c r="D9" s="200" t="s">
        <v>140</v>
      </c>
      <c r="E9" s="200" t="e">
        <f>ROUND(C11/E7,4)</f>
        <v>#DIV/0!</v>
      </c>
      <c r="F9" s="2751" t="s">
        <v>2848</v>
      </c>
      <c r="G9" s="2752"/>
      <c r="H9" s="2752"/>
      <c r="I9" s="2752"/>
      <c r="J9" s="2753"/>
      <c r="K9" s="1370"/>
      <c r="L9" s="2726" t="s">
        <v>2849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584"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6">
      <c r="A10" s="3589"/>
      <c r="B10" s="198" t="s">
        <v>2852</v>
      </c>
      <c r="C10" s="200">
        <f>SUMIF(修正!C59:C119,C8,修正!F59:F119)</f>
        <v>0</v>
      </c>
      <c r="D10" s="200" t="s">
        <v>141</v>
      </c>
      <c r="E10" s="200" t="e">
        <f>ROUND(C11/E7,4)</f>
        <v>#DIV/0!</v>
      </c>
      <c r="F10" s="2751" t="s">
        <v>2853</v>
      </c>
      <c r="G10" s="2752"/>
      <c r="H10" s="2752"/>
      <c r="I10" s="2752"/>
      <c r="J10" s="2753"/>
      <c r="K10" s="1370"/>
      <c r="L10" s="2726" t="s">
        <v>2854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58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7" thickBot="1">
      <c r="A11" s="3589"/>
      <c r="B11" s="2754" t="s">
        <v>2855</v>
      </c>
      <c r="C11" s="923">
        <f>C10/4</f>
        <v>0</v>
      </c>
      <c r="D11" s="923" t="s">
        <v>142</v>
      </c>
      <c r="E11" s="923" t="e">
        <f>ROUND(C11/E7,4)</f>
        <v>#DIV/0!</v>
      </c>
      <c r="F11" s="2755" t="s">
        <v>2856</v>
      </c>
      <c r="G11" s="2756"/>
      <c r="H11" s="2756"/>
      <c r="I11" s="2756"/>
      <c r="J11" s="2757"/>
      <c r="K11" s="1370"/>
      <c r="L11" s="2726" t="s">
        <v>2857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584" t="s">
        <v>2858</v>
      </c>
      <c r="X11" s="1613" t="s">
        <v>2859</v>
      </c>
      <c r="Y11" s="1614">
        <f>$G$3</f>
        <v>1.02</v>
      </c>
      <c r="Z11" s="1614">
        <f t="shared" ref="Z11:AJ11" si="3">$G$3</f>
        <v>1.02</v>
      </c>
      <c r="AA11" s="1614">
        <f t="shared" si="3"/>
        <v>1.02</v>
      </c>
      <c r="AB11" s="1614">
        <f t="shared" si="3"/>
        <v>1.02</v>
      </c>
      <c r="AC11" s="1614">
        <f t="shared" si="3"/>
        <v>1.02</v>
      </c>
      <c r="AD11" s="1614">
        <f t="shared" si="3"/>
        <v>1.02</v>
      </c>
      <c r="AE11" s="1614">
        <f t="shared" si="3"/>
        <v>1.02</v>
      </c>
      <c r="AF11" s="1614">
        <f t="shared" si="3"/>
        <v>1.02</v>
      </c>
      <c r="AG11" s="1614">
        <f t="shared" si="3"/>
        <v>1.02</v>
      </c>
      <c r="AH11" s="1614">
        <f t="shared" si="3"/>
        <v>1.02</v>
      </c>
      <c r="AI11" s="1614">
        <f t="shared" si="3"/>
        <v>1.02</v>
      </c>
      <c r="AJ11" s="1614">
        <f t="shared" si="3"/>
        <v>1.02</v>
      </c>
    </row>
    <row r="12" spans="1:36" ht="31" thickBot="1">
      <c r="A12" s="3569" t="s">
        <v>2860</v>
      </c>
      <c r="B12" s="2758" t="s">
        <v>2861</v>
      </c>
      <c r="C12" s="919">
        <f>ROUND(C15*D15*E15*F15*G15*H15*I15*J15,4)</f>
        <v>1</v>
      </c>
      <c r="D12" s="2759" t="s">
        <v>2862</v>
      </c>
      <c r="E12" s="2760"/>
      <c r="F12" s="2760"/>
      <c r="G12" s="2761"/>
      <c r="H12" s="2761"/>
      <c r="I12" s="2761"/>
      <c r="J12" s="2762"/>
      <c r="K12" s="1370"/>
      <c r="L12" s="2763" t="s">
        <v>2863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584"/>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30">
      <c r="A13" s="3590"/>
      <c r="B13" s="2764" t="s">
        <v>2865</v>
      </c>
      <c r="C13" s="2765" t="s">
        <v>2866</v>
      </c>
      <c r="D13" s="1807" t="s">
        <v>2867</v>
      </c>
      <c r="E13" s="1807" t="s">
        <v>2868</v>
      </c>
      <c r="F13" s="30" t="s">
        <v>2869</v>
      </c>
      <c r="G13" s="2766" t="s">
        <v>2870</v>
      </c>
      <c r="H13" s="2766" t="s">
        <v>2870</v>
      </c>
      <c r="I13" s="2766" t="s">
        <v>2870</v>
      </c>
      <c r="J13" s="2767" t="s">
        <v>2870</v>
      </c>
      <c r="K13" s="1370"/>
      <c r="L13" s="1370"/>
      <c r="M13" s="1370"/>
      <c r="N13" s="1370"/>
      <c r="O13" s="1370"/>
      <c r="P13" s="1370"/>
      <c r="Q13" s="1370"/>
      <c r="R13" s="1601">
        <v>12</v>
      </c>
      <c r="S13" s="1602"/>
      <c r="T13" s="1601" t="e">
        <f t="shared" si="0"/>
        <v>#DIV/0!</v>
      </c>
      <c r="U13" s="1602"/>
      <c r="V13" s="1601" t="e">
        <f t="shared" si="1"/>
        <v>#DIV/0!</v>
      </c>
      <c r="W13" s="3584"/>
      <c r="X13" s="1615"/>
      <c r="Y13" s="1612">
        <f>(-0.163*(Y12^2)-0.59*Y12+7617)*(10^(-4))/Y11</f>
        <v>0.746764705882353</v>
      </c>
      <c r="Z13" s="1612">
        <f t="shared" ref="Z13:AJ13" si="5">(-0.163*(Z12^2)-0.59*Z12+7617)*(10^(-4))/Z11</f>
        <v>0.746764705882353</v>
      </c>
      <c r="AA13" s="1612">
        <f t="shared" si="5"/>
        <v>0.746764705882353</v>
      </c>
      <c r="AB13" s="1612">
        <f t="shared" si="5"/>
        <v>0.746764705882353</v>
      </c>
      <c r="AC13" s="1612">
        <f t="shared" si="5"/>
        <v>0.746764705882353</v>
      </c>
      <c r="AD13" s="1612">
        <f t="shared" si="5"/>
        <v>0.746764705882353</v>
      </c>
      <c r="AE13" s="1612">
        <f t="shared" si="5"/>
        <v>0.746764705882353</v>
      </c>
      <c r="AF13" s="1612">
        <f t="shared" si="5"/>
        <v>0.746764705882353</v>
      </c>
      <c r="AG13" s="1612">
        <f t="shared" si="5"/>
        <v>0.746764705882353</v>
      </c>
      <c r="AH13" s="1612">
        <f t="shared" si="5"/>
        <v>0.746764705882353</v>
      </c>
      <c r="AI13" s="1612">
        <f t="shared" si="5"/>
        <v>0.746764705882353</v>
      </c>
      <c r="AJ13" s="1612">
        <f t="shared" si="5"/>
        <v>0.746764705882353</v>
      </c>
    </row>
    <row r="14" spans="1:36" ht="16">
      <c r="A14" s="3590"/>
      <c r="B14" s="2768"/>
      <c r="C14" s="2769"/>
      <c r="D14" s="2770"/>
      <c r="E14" s="2770"/>
      <c r="F14" s="2771"/>
      <c r="G14" s="2772" t="s">
        <v>2871</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7" thickBot="1">
      <c r="A15" s="3591"/>
      <c r="B15" s="2776" t="s">
        <v>2872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5" customHeight="1">
      <c r="A16" s="3569" t="s">
        <v>2877</v>
      </c>
      <c r="B16" s="2745" t="s">
        <v>2878</v>
      </c>
      <c r="C16" s="2932" t="e">
        <f>ROUND(IF(F17="与级别开发程度一致",0,(G17-E17)/C17),0)</f>
        <v>#DIV/0!</v>
      </c>
      <c r="D16" s="3580" t="s">
        <v>2882</v>
      </c>
      <c r="E16" s="3581"/>
      <c r="F16" s="3580" t="s">
        <v>2879</v>
      </c>
      <c r="G16" s="3581"/>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5" thickBot="1">
      <c r="A17" s="3570"/>
      <c r="B17" s="2943" t="s">
        <v>2881</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6" thickBot="1">
      <c r="A18" s="2937" t="s">
        <v>808</v>
      </c>
      <c r="B18" s="2938" t="s">
        <v>2884</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31" thickBot="1">
      <c r="A19" s="2784" t="s">
        <v>809</v>
      </c>
      <c r="B19" s="2785" t="s">
        <v>2885</v>
      </c>
      <c r="C19" s="924" t="e">
        <f>ROUND(IF(H19="按公示增长率计算",SUMPRODUCT((地价!A3:A29=YEAR(G19)&amp;"-"&amp;ROUNDUP(MONTH(G19)/3,0))*(地价!X2:AB2=E2)*(地价!X3:AB29)),IF(H19="地价指数",M20/M19,(1+I19)^O19)),4)</f>
        <v>#VALUE!</v>
      </c>
      <c r="D19" s="2789" t="s">
        <v>2886</v>
      </c>
      <c r="E19" s="925">
        <v>41640</v>
      </c>
      <c r="F19" s="2789" t="s">
        <v>2887</v>
      </c>
      <c r="G19" s="926">
        <f>'数据-取费表'!B2</f>
        <v>43905</v>
      </c>
      <c r="H19" s="2790"/>
      <c r="I19" s="927" t="str">
        <f>IF(H19="季度增幅（自定义）",SUMIF(N21:N24,E2,O21:O24),"")</f>
        <v/>
      </c>
      <c r="J19" s="2787"/>
      <c r="K19" s="1377"/>
      <c r="L19" s="2791" t="s">
        <v>2888</v>
      </c>
      <c r="M19" s="1733">
        <f>ROUND(SUMIF(地价!B2:F2,E2,地价!B29:F29),0)</f>
        <v>0</v>
      </c>
      <c r="N19" s="2792" t="s">
        <v>2889</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31" thickBot="1">
      <c r="A20" s="2796" t="s">
        <v>810</v>
      </c>
      <c r="B20" s="2797" t="s">
        <v>2890</v>
      </c>
      <c r="C20" s="929" t="e">
        <f>ROUND(POWER(1+G20,J20-I20)*(POWER(1+G20,I20)-1)/(POWER(1+G20,J20)-1),4)</f>
        <v>#DIV/0!</v>
      </c>
      <c r="D20" s="2798" t="s">
        <v>2891</v>
      </c>
      <c r="E20" s="1767">
        <f ca="1">存贷款利率!D4/100</f>
        <v>4.3499999999999997E-2</v>
      </c>
      <c r="F20" s="2798" t="s">
        <v>2883</v>
      </c>
      <c r="G20" s="934">
        <f>SUMIF(M26:P26,E2,M28:P28)</f>
        <v>0</v>
      </c>
      <c r="H20" s="2798" t="s">
        <v>2892</v>
      </c>
      <c r="I20" s="935" t="e">
        <f>SUMIF('数据-取费表'!C6:C15,E2,'数据-取费表'!F6:F15)/COUNTIF('数据-取费表'!C6:C15,E2)</f>
        <v>#DIV/0!</v>
      </c>
      <c r="J20" s="936">
        <f>IF(E2="住宅",70,IF(E2="商业",40,50))</f>
        <v>50</v>
      </c>
      <c r="K20" s="1377"/>
      <c r="L20" s="2799" t="s">
        <v>2893</v>
      </c>
      <c r="M20" s="1734">
        <f>ROUND(SUMPRODUCT((地价!A4:A29=YEAR(G19)&amp;"-"&amp;ROUNDUP(MONTH(G19)/3,0))*(地价!B2:F2=E2)*(地价!B4:F29)),0)</f>
        <v>0</v>
      </c>
      <c r="N20" s="2800" t="s">
        <v>2894</v>
      </c>
      <c r="O20" s="2801" t="s">
        <v>2895</v>
      </c>
      <c r="P20" s="2802" t="s">
        <v>2896</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2897</v>
      </c>
      <c r="C21" s="937">
        <f>IF(B21="容积率修正",IF(G3&lt;=10,D22,J22),C23)</f>
        <v>0</v>
      </c>
      <c r="D21" s="2805"/>
      <c r="E21" s="2805"/>
      <c r="F21" s="2805"/>
      <c r="G21" s="2805"/>
      <c r="H21" s="2805"/>
      <c r="I21" s="2805"/>
      <c r="J21" s="2806"/>
      <c r="K21" s="1377"/>
      <c r="N21" s="2807" t="s">
        <v>2898</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8" customFormat="1" ht="15">
      <c r="A22" s="2664" t="s">
        <v>2899</v>
      </c>
      <c r="B22" s="2808" t="s">
        <v>2900</v>
      </c>
      <c r="C22" s="1809" t="s">
        <v>2901</v>
      </c>
      <c r="D22" s="1809">
        <f>IF(E22=G22,F22,IF(G3&lt;=10,ROUND(F22+(H22-F22)*(G3-E22)/(G22-E22),4),"——"))</f>
        <v>0</v>
      </c>
      <c r="E22" s="916">
        <f>ROUNDDOWN(G3,1)</f>
        <v>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2902</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16" thickBot="1">
      <c r="A23" s="2664" t="s">
        <v>2903</v>
      </c>
      <c r="B23" s="2809" t="s">
        <v>2904</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2905</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8"/>
    </row>
    <row r="24" spans="1:37" s="2738" customFormat="1" ht="16" thickBot="1">
      <c r="A24" s="2796" t="s">
        <v>812</v>
      </c>
      <c r="B24" s="2785" t="s">
        <v>2906</v>
      </c>
      <c r="C24" s="924">
        <f>SUMIF(A45:A88,E2,B45:B88)</f>
        <v>0</v>
      </c>
      <c r="D24" s="2786"/>
      <c r="E24" s="2815"/>
      <c r="F24" s="2815"/>
      <c r="G24" s="2815"/>
      <c r="H24" s="2815"/>
      <c r="I24" s="2815"/>
      <c r="J24" s="2816"/>
      <c r="K24" s="1377"/>
      <c r="N24" s="2817" t="s">
        <v>2907</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6" thickBot="1">
      <c r="A25" s="2796" t="s">
        <v>813</v>
      </c>
      <c r="B25" s="2818" t="s">
        <v>2908</v>
      </c>
      <c r="C25" s="930"/>
      <c r="D25" s="2748"/>
      <c r="E25" s="2748"/>
      <c r="F25" s="2819"/>
      <c r="G25" s="2748"/>
      <c r="H25" s="2748"/>
      <c r="I25" s="2748"/>
      <c r="J25" s="2749"/>
      <c r="K25" s="1370"/>
      <c r="N25" s="2820" t="s">
        <v>2909</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1"/>
      <c r="B26" s="2808" t="s">
        <v>2910</v>
      </c>
      <c r="C26" s="206" t="e">
        <f>E29+SUM(E33:E39)</f>
        <v>#DIV/0!</v>
      </c>
      <c r="D26" s="2822"/>
      <c r="E26" s="2773"/>
      <c r="F26" s="2823"/>
      <c r="G26" s="2773"/>
      <c r="H26" s="2773"/>
      <c r="I26" s="2773"/>
      <c r="J26" s="2824"/>
      <c r="K26" s="1370"/>
      <c r="L26" s="2777" t="s">
        <v>2808</v>
      </c>
      <c r="M26" s="920" t="s">
        <v>2873</v>
      </c>
      <c r="N26" s="920" t="s">
        <v>2874</v>
      </c>
      <c r="O26" s="920" t="s">
        <v>2875</v>
      </c>
      <c r="P26" s="2778" t="s">
        <v>2876</v>
      </c>
      <c r="R26" s="1376"/>
      <c r="S26" s="1376"/>
      <c r="T26" s="1371"/>
      <c r="U26" s="1371"/>
      <c r="V26" s="1371"/>
      <c r="W26" s="1370"/>
      <c r="X26" s="1370"/>
      <c r="Y26" s="1370"/>
      <c r="Z26" s="1377"/>
      <c r="AA26" s="1378"/>
      <c r="AB26" s="1378"/>
      <c r="AC26" s="1378"/>
      <c r="AD26" s="1378"/>
    </row>
    <row r="27" spans="1:37" ht="16" thickBot="1">
      <c r="A27" s="2821"/>
      <c r="B27" s="2825" t="s">
        <v>2911</v>
      </c>
      <c r="C27" s="931" t="e">
        <f>E30+SUM(I33:I39)</f>
        <v>#DIV/0!</v>
      </c>
      <c r="D27" s="2826"/>
      <c r="E27" s="2827"/>
      <c r="F27" s="2828"/>
      <c r="G27" s="2827"/>
      <c r="H27" s="2827"/>
      <c r="I27" s="2827"/>
      <c r="J27" s="2829"/>
      <c r="K27" s="1370"/>
      <c r="L27" s="2781"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6" thickBot="1">
      <c r="A28" s="2830"/>
      <c r="B28" s="2831" t="s">
        <v>2912</v>
      </c>
      <c r="C28" s="2832" t="s">
        <v>2913</v>
      </c>
      <c r="D28" s="2832" t="s">
        <v>2914</v>
      </c>
      <c r="E28" s="2833" t="s">
        <v>2915</v>
      </c>
      <c r="F28" s="2834"/>
      <c r="G28" s="2761"/>
      <c r="H28" s="2761"/>
      <c r="I28" s="2761"/>
      <c r="J28" s="2762"/>
      <c r="K28" s="1370"/>
      <c r="L28" s="2782"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2916</v>
      </c>
      <c r="C29" s="206" t="e">
        <f>ROUND(C5*C18*C19*C20*C21*C24,0)</f>
        <v>#DIV/0!</v>
      </c>
      <c r="D29" s="2837"/>
      <c r="E29" s="942" t="e">
        <f>ROUND(C29*D29/10000,0)</f>
        <v>#DIV/0!</v>
      </c>
      <c r="F29" s="2838" t="s">
        <v>2917</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31" thickBot="1">
      <c r="A30" s="2841"/>
      <c r="B30" s="2842" t="s">
        <v>2918</v>
      </c>
      <c r="C30" s="229" t="e">
        <f>ROUND(IF(E2="工业",C29*M39,C29*M38),0)</f>
        <v>#DIV/0!</v>
      </c>
      <c r="D30" s="2843"/>
      <c r="E30" s="942" t="e">
        <f>ROUND(C30*D30/10000,0)</f>
        <v>#DIV/0!</v>
      </c>
      <c r="F30" s="2844" t="s">
        <v>2919</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5">
      <c r="A31" s="2847"/>
      <c r="B31" s="2848" t="s">
        <v>2920</v>
      </c>
      <c r="C31" s="2849" t="s">
        <v>2921</v>
      </c>
      <c r="D31" s="2761"/>
      <c r="E31" s="2849"/>
      <c r="F31" s="2849"/>
      <c r="G31" s="2759" t="s">
        <v>2922</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30">
      <c r="A32" s="2835"/>
      <c r="B32" s="2851"/>
      <c r="C32" s="501" t="s">
        <v>2913</v>
      </c>
      <c r="D32" s="498" t="s">
        <v>2914</v>
      </c>
      <c r="E32" s="498" t="s">
        <v>2915</v>
      </c>
      <c r="F32" s="388" t="s">
        <v>2923</v>
      </c>
      <c r="G32" s="2852" t="s">
        <v>2913</v>
      </c>
      <c r="H32" s="2852" t="s">
        <v>2914</v>
      </c>
      <c r="I32" s="2852"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577" t="s">
        <v>2924</v>
      </c>
      <c r="B33" s="2853" t="s">
        <v>2925</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5">
      <c r="A34" s="3578"/>
      <c r="B34" s="2765" t="s">
        <v>2926</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5">
      <c r="A35" s="3578"/>
      <c r="B35" s="2765" t="s">
        <v>2927</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6" thickBot="1">
      <c r="A36" s="3579"/>
      <c r="B36" s="2765" t="s">
        <v>2928</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ht="15">
      <c r="A37" s="2855"/>
      <c r="B37" s="2765" t="s">
        <v>2929</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2930</v>
      </c>
      <c r="M37" s="2857"/>
      <c r="N37" s="1370"/>
      <c r="O37" s="1370"/>
      <c r="P37" s="1370"/>
      <c r="Q37" s="1370"/>
      <c r="R37" s="1370"/>
      <c r="S37" s="1370"/>
      <c r="T37" s="1370"/>
      <c r="U37" s="1370"/>
      <c r="V37" s="1370"/>
      <c r="W37" s="1370"/>
      <c r="X37" s="1370"/>
      <c r="Y37" s="1370"/>
      <c r="Z37" s="1371"/>
    </row>
    <row r="38" spans="1:37" ht="15">
      <c r="A38" s="2855"/>
      <c r="B38" s="2765" t="s">
        <v>2931</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2932</v>
      </c>
      <c r="M38" s="2858">
        <v>0.25</v>
      </c>
      <c r="N38" s="1370"/>
      <c r="O38" s="1370"/>
      <c r="P38" s="1370"/>
      <c r="Q38" s="1370"/>
      <c r="R38" s="1370"/>
      <c r="S38" s="1370"/>
      <c r="T38" s="1370"/>
      <c r="U38" s="1370"/>
      <c r="V38" s="1370"/>
      <c r="W38" s="1370"/>
      <c r="X38" s="1370"/>
      <c r="Y38" s="1370"/>
      <c r="Z38" s="1371"/>
    </row>
    <row r="39" spans="1:37" ht="16" thickBot="1">
      <c r="A39" s="2841"/>
      <c r="B39" s="2859" t="s">
        <v>2933</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2876</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15">
      <c r="A41" s="1371"/>
      <c r="B41" s="2930" t="s">
        <v>3041</v>
      </c>
      <c r="C41" s="388" t="e">
        <f>ROUND(POWER(1+E41,H41-G41)*(POWER(1+E41,G41)-1)/(POWER(1+E41,H41)-1),4)</f>
        <v>#DIV/0!</v>
      </c>
      <c r="D41" s="200" t="s">
        <v>2883</v>
      </c>
      <c r="E41" s="2929">
        <f>G20</f>
        <v>0</v>
      </c>
      <c r="F41" s="200" t="s">
        <v>2892</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 thickBot="1">
      <c r="A45" s="2864" t="s">
        <v>2934</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4">
      <c r="A46" s="2866" t="s">
        <v>2935</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30">
      <c r="A47" s="2870" t="s">
        <v>2936</v>
      </c>
      <c r="B47" s="1808" t="s">
        <v>2937</v>
      </c>
      <c r="C47" s="1808" t="s">
        <v>2938</v>
      </c>
      <c r="D47" s="1808" t="s">
        <v>2939</v>
      </c>
      <c r="E47" s="819" t="s">
        <v>2940</v>
      </c>
      <c r="F47" s="2871" t="s">
        <v>2941</v>
      </c>
      <c r="G47" s="1808" t="s">
        <v>754</v>
      </c>
      <c r="H47" s="2872" t="s">
        <v>2942</v>
      </c>
      <c r="I47" s="1808" t="s">
        <v>2943</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42">
      <c r="A48" s="2870" t="s">
        <v>2944</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6">
      <c r="A49" s="2870" t="s">
        <v>2945</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30">
      <c r="A50" s="2870" t="s">
        <v>2946</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60">
      <c r="A51" s="2870" t="s">
        <v>2947</v>
      </c>
      <c r="B51" s="2875" t="s">
        <v>2948</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30">
      <c r="A52" s="2870" t="s">
        <v>2949</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0">
      <c r="A53" s="2870" t="s">
        <v>2950</v>
      </c>
      <c r="B53" s="2876" t="s">
        <v>2951</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30">
      <c r="A54" s="2877" t="s">
        <v>2952</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30">
      <c r="A55" s="2877" t="s">
        <v>2953</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3" thickBot="1">
      <c r="A56" s="2878" t="s">
        <v>2954</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
      <c r="A57" s="2866" t="s">
        <v>2955</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30">
      <c r="A58" s="2870" t="s">
        <v>2936</v>
      </c>
      <c r="B58" s="1808"/>
      <c r="C58" s="1808" t="s">
        <v>2938</v>
      </c>
      <c r="D58" s="1808" t="s">
        <v>2939</v>
      </c>
      <c r="E58" s="819" t="s">
        <v>2940</v>
      </c>
      <c r="F58" s="2871" t="s">
        <v>2956</v>
      </c>
      <c r="G58" s="1808" t="s">
        <v>754</v>
      </c>
      <c r="H58" s="2872" t="s">
        <v>2942</v>
      </c>
      <c r="I58" s="1808" t="s">
        <v>2943</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56">
      <c r="A59" s="2870" t="s">
        <v>2957</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6">
      <c r="A60" s="2870" t="s">
        <v>2945</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30">
      <c r="A61" s="2870" t="s">
        <v>2946</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60">
      <c r="A62" s="2870" t="s">
        <v>2947</v>
      </c>
      <c r="B62" s="2875" t="s">
        <v>2948</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30">
      <c r="A63" s="2870" t="s">
        <v>2949</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0">
      <c r="A64" s="2870" t="s">
        <v>2950</v>
      </c>
      <c r="B64" s="2876" t="s">
        <v>2951</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30">
      <c r="A65" s="2870" t="s">
        <v>2952</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30">
      <c r="A66" s="2870" t="s">
        <v>2953</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3" thickBot="1">
      <c r="A67" s="2878" t="s">
        <v>2954</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
      <c r="A68" s="2866" t="s">
        <v>2958</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30">
      <c r="A69" s="2870" t="s">
        <v>2936</v>
      </c>
      <c r="B69" s="1808"/>
      <c r="C69" s="1808" t="s">
        <v>2938</v>
      </c>
      <c r="D69" s="1808" t="s">
        <v>2939</v>
      </c>
      <c r="E69" s="819" t="s">
        <v>2940</v>
      </c>
      <c r="F69" s="2871" t="s">
        <v>2956</v>
      </c>
      <c r="G69" s="1808" t="s">
        <v>754</v>
      </c>
      <c r="H69" s="2872" t="s">
        <v>2942</v>
      </c>
      <c r="I69" s="1808" t="s">
        <v>2943</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6">
      <c r="A70" s="2870" t="s">
        <v>2959</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6">
      <c r="A71" s="2870" t="s">
        <v>2945</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30">
      <c r="A72" s="2870" t="s">
        <v>2946</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5">
      <c r="A73" s="2870" t="s">
        <v>2960</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30">
      <c r="A74" s="2870" t="s">
        <v>2952</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30">
      <c r="A75" s="2870" t="s">
        <v>2953</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30">
      <c r="A76" s="2870" t="s">
        <v>2950</v>
      </c>
      <c r="B76" s="2876" t="s">
        <v>2951</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42">
      <c r="A77" s="2870" t="s">
        <v>2954</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31" thickBot="1">
      <c r="A78" s="2878" t="s">
        <v>2961</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4">
      <c r="A79" s="2866" t="s">
        <v>2962</v>
      </c>
      <c r="B79" s="2867">
        <f>1+E81</f>
        <v>1</v>
      </c>
      <c r="C79" s="814"/>
      <c r="D79" s="814"/>
      <c r="E79" s="815"/>
      <c r="F79" s="2869"/>
      <c r="G79" s="6"/>
      <c r="H79" s="6"/>
      <c r="I79" s="6"/>
      <c r="J79" s="7"/>
      <c r="K79" s="7"/>
      <c r="L79" s="7"/>
      <c r="M79" s="7"/>
      <c r="N79" s="7"/>
      <c r="Z79" s="2720"/>
      <c r="AA79" s="2788"/>
      <c r="AG79" s="1372"/>
      <c r="AK79" s="2788"/>
    </row>
    <row r="80" spans="1:37" ht="30">
      <c r="A80" s="2870" t="s">
        <v>2936</v>
      </c>
      <c r="B80" s="1808"/>
      <c r="C80" s="1808" t="s">
        <v>2938</v>
      </c>
      <c r="D80" s="1808" t="s">
        <v>2939</v>
      </c>
      <c r="E80" s="819" t="s">
        <v>2940</v>
      </c>
      <c r="F80" s="2871" t="s">
        <v>2956</v>
      </c>
      <c r="G80" s="1808" t="s">
        <v>754</v>
      </c>
      <c r="H80" s="2872" t="s">
        <v>2942</v>
      </c>
      <c r="I80" s="1808" t="s">
        <v>2943</v>
      </c>
      <c r="J80" s="603" t="s">
        <v>2591</v>
      </c>
      <c r="K80" s="603" t="s">
        <v>2592</v>
      </c>
      <c r="L80" s="603" t="s">
        <v>2593</v>
      </c>
      <c r="M80" s="603" t="s">
        <v>2594</v>
      </c>
      <c r="N80" s="603" t="s">
        <v>2595</v>
      </c>
      <c r="Z80" s="2720"/>
      <c r="AA80" s="2788"/>
      <c r="AG80" s="1372"/>
      <c r="AK80" s="2788"/>
    </row>
    <row r="81" spans="1:37" ht="42">
      <c r="A81" s="2870" t="s">
        <v>2963</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6">
      <c r="A82" s="2870" t="s">
        <v>2945</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30">
      <c r="A83" s="2870" t="s">
        <v>2946</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5">
      <c r="A84" s="2870" t="s">
        <v>2960</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30">
      <c r="A85" s="2870" t="s">
        <v>2952</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30">
      <c r="A86" s="2870" t="s">
        <v>2953</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30">
      <c r="A87" s="2870" t="s">
        <v>2950</v>
      </c>
      <c r="B87" s="2876" t="s">
        <v>2964</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43" thickBot="1">
      <c r="A88" s="2878" t="s">
        <v>2965</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ht="14">
      <c r="A90" s="3571" t="s">
        <v>2966</v>
      </c>
      <c r="B90" s="3571"/>
      <c r="C90" s="3571"/>
      <c r="D90" s="3571"/>
      <c r="E90" s="3571"/>
      <c r="F90" s="3571"/>
      <c r="G90" s="3571"/>
      <c r="H90" s="3571"/>
      <c r="I90" s="3571"/>
      <c r="J90" s="3571"/>
      <c r="K90" s="2884"/>
      <c r="L90" s="2884"/>
      <c r="M90" s="2884"/>
      <c r="N90" s="2884"/>
    </row>
    <row r="91" spans="1:37" ht="14">
      <c r="A91" s="3573" t="s">
        <v>2967</v>
      </c>
      <c r="B91" s="3573" t="s">
        <v>2968</v>
      </c>
      <c r="C91" s="2838" t="s">
        <v>2969</v>
      </c>
      <c r="D91" s="2839"/>
      <c r="E91" s="2839"/>
      <c r="F91" s="2839"/>
      <c r="G91" s="2839"/>
      <c r="H91" s="2839"/>
      <c r="I91" s="2839"/>
      <c r="J91" s="2885"/>
      <c r="K91" s="2886"/>
      <c r="L91" s="2886"/>
      <c r="M91" s="2886"/>
      <c r="N91" s="2886"/>
    </row>
    <row r="92" spans="1:37" ht="14">
      <c r="A92" s="3573"/>
      <c r="B92" s="3573"/>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574" t="s">
        <v>2970</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57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57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57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57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57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ht="14">
      <c r="A99" s="3575"/>
      <c r="B99" s="2887" t="s">
        <v>2851</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57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ht="15">
      <c r="A101" s="3574" t="s">
        <v>2971</v>
      </c>
      <c r="B101" s="2891" t="s">
        <v>2972</v>
      </c>
      <c r="C101" s="2892">
        <f>$G$3</f>
        <v>1.02</v>
      </c>
      <c r="D101" s="2892">
        <f t="shared" ref="D101:N101" si="31">$G$3</f>
        <v>1.02</v>
      </c>
      <c r="E101" s="2892">
        <f t="shared" si="31"/>
        <v>1.02</v>
      </c>
      <c r="F101" s="2892">
        <f t="shared" si="31"/>
        <v>1.02</v>
      </c>
      <c r="G101" s="2892">
        <f t="shared" si="31"/>
        <v>1.02</v>
      </c>
      <c r="H101" s="2892">
        <f t="shared" si="31"/>
        <v>1.02</v>
      </c>
      <c r="I101" s="2892">
        <f t="shared" si="31"/>
        <v>1.02</v>
      </c>
      <c r="J101" s="2892">
        <f t="shared" si="31"/>
        <v>1.02</v>
      </c>
      <c r="K101" s="2892">
        <f t="shared" si="31"/>
        <v>1.02</v>
      </c>
      <c r="L101" s="2892">
        <f t="shared" si="31"/>
        <v>1.02</v>
      </c>
      <c r="M101" s="2892">
        <f t="shared" si="31"/>
        <v>1.02</v>
      </c>
      <c r="N101" s="2892">
        <f t="shared" si="31"/>
        <v>1.02</v>
      </c>
    </row>
    <row r="102" spans="1:14">
      <c r="A102" s="3575"/>
      <c r="B102" s="2887">
        <v>1</v>
      </c>
      <c r="C102" s="2888">
        <f>1.9362/C101</f>
        <v>1.898235294117647</v>
      </c>
      <c r="D102" s="2888">
        <f>1.9362/D101</f>
        <v>1.898235294117647</v>
      </c>
      <c r="E102" s="2888">
        <f>1.8629/E101</f>
        <v>1.8263725490196079</v>
      </c>
      <c r="F102" s="2888">
        <f>1.8629/F101</f>
        <v>1.8263725490196079</v>
      </c>
      <c r="G102" s="2888">
        <f>1.8629/G101</f>
        <v>1.8263725490196079</v>
      </c>
      <c r="H102" s="2888">
        <f>1.8629/H101</f>
        <v>1.8263725490196079</v>
      </c>
      <c r="I102" s="2888">
        <f>1.8629/I101</f>
        <v>1.8263725490196079</v>
      </c>
      <c r="J102" s="2888">
        <f>1.942/J101</f>
        <v>1.9039215686274509</v>
      </c>
      <c r="K102" s="2888">
        <f>1.942/K101</f>
        <v>1.9039215686274509</v>
      </c>
      <c r="L102" s="2888">
        <f>1.942/L101</f>
        <v>1.9039215686274509</v>
      </c>
      <c r="M102" s="2888">
        <f>1.942/M101</f>
        <v>1.9039215686274509</v>
      </c>
      <c r="N102" s="2888">
        <f>1.942/N101</f>
        <v>1.9039215686274509</v>
      </c>
    </row>
    <row r="103" spans="1:14">
      <c r="A103" s="3575"/>
      <c r="B103" s="2887">
        <v>2</v>
      </c>
      <c r="C103" s="2888">
        <f>1.4198/C101</f>
        <v>1.3919607843137254</v>
      </c>
      <c r="D103" s="2888">
        <f>1.4198/D101</f>
        <v>1.3919607843137254</v>
      </c>
      <c r="E103" s="2888">
        <f>1.3372/E101</f>
        <v>1.3109803921568626</v>
      </c>
      <c r="F103" s="2888">
        <f>1.3372/F101</f>
        <v>1.3109803921568626</v>
      </c>
      <c r="G103" s="2888">
        <f>1.3372/G101</f>
        <v>1.3109803921568626</v>
      </c>
      <c r="H103" s="2888">
        <f>1.3372/H101</f>
        <v>1.3109803921568626</v>
      </c>
      <c r="I103" s="2888">
        <f>1.3372/I101</f>
        <v>1.3109803921568626</v>
      </c>
      <c r="J103" s="2888">
        <f>1.2799/J101</f>
        <v>1.2548039215686275</v>
      </c>
      <c r="K103" s="2888">
        <f>1.2799/K101</f>
        <v>1.2548039215686275</v>
      </c>
      <c r="L103" s="2888">
        <f>1.2799/L101</f>
        <v>1.2548039215686275</v>
      </c>
      <c r="M103" s="2888">
        <f>1.2799/M101</f>
        <v>1.2548039215686275</v>
      </c>
      <c r="N103" s="2888">
        <f>1.2799/N101</f>
        <v>1.2548039215686275</v>
      </c>
    </row>
    <row r="104" spans="1:14">
      <c r="A104" s="3575"/>
      <c r="B104" s="2887">
        <v>3</v>
      </c>
      <c r="C104" s="2888">
        <f>1.1594/C101</f>
        <v>1.1366666666666667</v>
      </c>
      <c r="D104" s="2888">
        <f>1.1594/D101</f>
        <v>1.1366666666666667</v>
      </c>
      <c r="E104" s="2888">
        <f>1.0788/E101</f>
        <v>1.0576470588235294</v>
      </c>
      <c r="F104" s="2888">
        <f>1.0788/F101</f>
        <v>1.0576470588235294</v>
      </c>
      <c r="G104" s="2888">
        <f>1.0788/G101</f>
        <v>1.0576470588235294</v>
      </c>
      <c r="H104" s="2888">
        <f>1.0788/H101</f>
        <v>1.0576470588235294</v>
      </c>
      <c r="I104" s="2888">
        <f>1.0788/I101</f>
        <v>1.0576470588235294</v>
      </c>
      <c r="J104" s="2888">
        <f>1.0072/J101</f>
        <v>0.98745098039215695</v>
      </c>
      <c r="K104" s="2888">
        <f>1.0072/K101</f>
        <v>0.98745098039215695</v>
      </c>
      <c r="L104" s="2888">
        <f>1.0072/L101</f>
        <v>0.98745098039215695</v>
      </c>
      <c r="M104" s="2888">
        <f>1.0072/M101</f>
        <v>0.98745098039215695</v>
      </c>
      <c r="N104" s="2888">
        <f>1.0072/N101</f>
        <v>0.98745098039215695</v>
      </c>
    </row>
    <row r="105" spans="1:14">
      <c r="A105" s="3575"/>
      <c r="B105" s="2887">
        <v>4</v>
      </c>
      <c r="C105" s="2888">
        <f>0.9622/C101</f>
        <v>0.94333333333333336</v>
      </c>
      <c r="D105" s="2888">
        <f>0.9622/D101</f>
        <v>0.94333333333333336</v>
      </c>
      <c r="E105" s="2888">
        <f>0.8656/E101</f>
        <v>0.84862745098039216</v>
      </c>
      <c r="F105" s="2888">
        <f>0.8656/F101</f>
        <v>0.84862745098039216</v>
      </c>
      <c r="G105" s="2888">
        <f>0.8656/G101</f>
        <v>0.84862745098039216</v>
      </c>
      <c r="H105" s="2888">
        <f>0.8656/H101</f>
        <v>0.84862745098039216</v>
      </c>
      <c r="I105" s="2888">
        <f>0.8656/I101</f>
        <v>0.84862745098039216</v>
      </c>
      <c r="J105" s="2888">
        <f>0.7525/J101</f>
        <v>0.73774509803921562</v>
      </c>
      <c r="K105" s="2888">
        <f>0.7525/K101</f>
        <v>0.73774509803921562</v>
      </c>
      <c r="L105" s="2888">
        <f>0.7525/L101</f>
        <v>0.73774509803921562</v>
      </c>
      <c r="M105" s="2888">
        <f>0.7525/M101</f>
        <v>0.73774509803921562</v>
      </c>
      <c r="N105" s="2888">
        <f>0.7525/N101</f>
        <v>0.73774509803921562</v>
      </c>
    </row>
    <row r="106" spans="1:14">
      <c r="A106" s="3575"/>
      <c r="B106" s="2887">
        <v>5</v>
      </c>
      <c r="C106" s="2888">
        <f>0.8417/C101</f>
        <v>0.82519607843137255</v>
      </c>
      <c r="D106" s="2888">
        <f>0.8417/D101</f>
        <v>0.82519607843137255</v>
      </c>
      <c r="E106" s="2888">
        <f>0.7371/E101</f>
        <v>0.72264705882352942</v>
      </c>
      <c r="F106" s="2888">
        <f>0.7371/F101</f>
        <v>0.72264705882352942</v>
      </c>
      <c r="G106" s="2888">
        <f>0.7371/G101</f>
        <v>0.72264705882352942</v>
      </c>
      <c r="H106" s="2888">
        <f>0.7371/H101</f>
        <v>0.72264705882352942</v>
      </c>
      <c r="I106" s="2888">
        <f>0.7371/I101</f>
        <v>0.72264705882352942</v>
      </c>
      <c r="J106" s="2888">
        <f>0.5659/J101</f>
        <v>0.55480392156862746</v>
      </c>
      <c r="K106" s="2888">
        <f>0.5659/K101</f>
        <v>0.55480392156862746</v>
      </c>
      <c r="L106" s="2888">
        <f>0.5659/L101</f>
        <v>0.55480392156862746</v>
      </c>
      <c r="M106" s="2888">
        <f>0.5659/M101</f>
        <v>0.55480392156862746</v>
      </c>
      <c r="N106" s="2888">
        <f>0.5659/N101</f>
        <v>0.55480392156862746</v>
      </c>
    </row>
    <row r="107" spans="1:14">
      <c r="A107" s="3575"/>
      <c r="B107" s="2887">
        <v>6</v>
      </c>
      <c r="C107" s="2888">
        <f>0.7608/C101</f>
        <v>0.74588235294117644</v>
      </c>
      <c r="D107" s="2888">
        <f>0.7608/D101</f>
        <v>0.74588235294117644</v>
      </c>
      <c r="E107" s="2888">
        <f>0.6482/E101</f>
        <v>0.63549019607843138</v>
      </c>
      <c r="F107" s="2888">
        <f>0.6482/F101</f>
        <v>0.63549019607843138</v>
      </c>
      <c r="G107" s="2888">
        <f>0.6482/G101</f>
        <v>0.63549019607843138</v>
      </c>
      <c r="H107" s="2888">
        <f>0.6482/H101</f>
        <v>0.63549019607843138</v>
      </c>
      <c r="I107" s="2888">
        <f>0.6482/I101</f>
        <v>0.63549019607843138</v>
      </c>
      <c r="J107" s="2888">
        <f>0.4525/J101</f>
        <v>0.44362745098039214</v>
      </c>
      <c r="K107" s="2888">
        <f>0.4525/K101</f>
        <v>0.44362745098039214</v>
      </c>
      <c r="L107" s="2888">
        <f>0.4525/L101</f>
        <v>0.44362745098039214</v>
      </c>
      <c r="M107" s="2888">
        <f>0.4525/M101</f>
        <v>0.44362745098039214</v>
      </c>
      <c r="N107" s="2888">
        <f>0.4525/N101</f>
        <v>0.44362745098039214</v>
      </c>
    </row>
    <row r="108" spans="1:14">
      <c r="A108" s="3575"/>
      <c r="B108" s="3403" t="s">
        <v>2973</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576"/>
      <c r="B109" s="3404"/>
      <c r="C109" s="2890">
        <f>(-0.163*(C108^2)-0.59*C108+7617)*(10^(-4))/C101</f>
        <v>0.746764705882353</v>
      </c>
      <c r="D109" s="2890">
        <f>(-0.163*(D108^2)-0.59*D108+7617)*(10^(-4))/D101</f>
        <v>0.746764705882353</v>
      </c>
      <c r="E109" s="2890">
        <f>(-0.161*(E108^2)-7.509*E108+6533)*(10^(-4))/E101</f>
        <v>0.64049019607843138</v>
      </c>
      <c r="F109" s="2890">
        <f>(-0.161*(F108^2)-7.509*F108+6533)*(10^(-4))/F101</f>
        <v>0.64049019607843138</v>
      </c>
      <c r="G109" s="2890">
        <f>(-0.161*(G108^2)-7.509*G108+6533)*(10^(-4))/G101</f>
        <v>0.64049019607843138</v>
      </c>
      <c r="H109" s="2890">
        <f>(-0.161*(H108^2)-7.509*H108+6533)*(10^(-4))/H101</f>
        <v>0.64049019607843138</v>
      </c>
      <c r="I109" s="2890">
        <f>(-0.161*(I108^2)-7.509*I108+6533)*(10^(-4))/I101</f>
        <v>0.64049019607843138</v>
      </c>
      <c r="J109" s="2890">
        <f>(-0.214*(J108^2)-21.991*J108+4665)*(10^(-4))/J101</f>
        <v>0.45735294117647063</v>
      </c>
      <c r="K109" s="2890">
        <f>(-0.214*(K108^2)-21.991*K108+4665)*(10^(-4))/K101</f>
        <v>0.45735294117647063</v>
      </c>
      <c r="L109" s="2890">
        <f>(-0.214*(L108^2)-21.991*L108+4665)*(10^(-4))/L101</f>
        <v>0.45735294117647063</v>
      </c>
      <c r="M109" s="2890">
        <f>(-0.214*(M108^2)-21.991*M108+4665)*(10^(-4))/M101</f>
        <v>0.45735294117647063</v>
      </c>
      <c r="N109" s="2890">
        <f>(-0.214*(N108^2)-21.991*N108+4665)*(10^(-4))/N101</f>
        <v>0.45735294117647063</v>
      </c>
    </row>
    <row r="110" spans="1:14" ht="14">
      <c r="A110" s="3572" t="s">
        <v>2974</v>
      </c>
      <c r="B110" s="3572"/>
      <c r="C110" s="3572"/>
      <c r="D110" s="3572"/>
      <c r="E110" s="3572"/>
      <c r="F110" s="3572"/>
      <c r="G110" s="3572"/>
      <c r="H110" s="3572"/>
      <c r="I110" s="3572"/>
      <c r="J110" s="3572"/>
      <c r="K110" s="2893"/>
      <c r="L110" s="2893"/>
      <c r="M110" s="2893"/>
      <c r="N110" s="2893"/>
    </row>
    <row r="112" spans="1:14" ht="14" thickBot="1"/>
    <row r="113" spans="1:13" ht="30" thickBot="1">
      <c r="A113" s="903" t="s">
        <v>2975</v>
      </c>
      <c r="B113" s="1287">
        <f>G3</f>
        <v>1.02</v>
      </c>
      <c r="C113" s="904" t="s">
        <v>2976</v>
      </c>
      <c r="D113" s="905">
        <f>SUMPRODUCT((A115:A118=F113)*(B114:M114=H113)*B115:M118)</f>
        <v>0</v>
      </c>
      <c r="E113" s="2724" t="s">
        <v>2808</v>
      </c>
      <c r="F113" s="2895">
        <f>E2</f>
        <v>0</v>
      </c>
      <c r="G113" s="2724" t="s">
        <v>2809</v>
      </c>
      <c r="H113" s="2895">
        <f>G2</f>
        <v>0</v>
      </c>
      <c r="I113" s="2724"/>
      <c r="J113" s="2896"/>
      <c r="K113" s="2896"/>
      <c r="L113" s="2896"/>
      <c r="M113" s="2896"/>
    </row>
    <row r="114" spans="1:13" ht="15">
      <c r="A114" s="908"/>
      <c r="B114" s="2897" t="s">
        <v>2977</v>
      </c>
      <c r="C114" s="2897" t="s">
        <v>2978</v>
      </c>
      <c r="D114" s="2897" t="s">
        <v>2979</v>
      </c>
      <c r="E114" s="2898" t="s">
        <v>2980</v>
      </c>
      <c r="F114" s="2898" t="s">
        <v>2981</v>
      </c>
      <c r="G114" s="2898" t="s">
        <v>2982</v>
      </c>
      <c r="H114" s="2899" t="s">
        <v>2983</v>
      </c>
      <c r="I114" s="2899" t="s">
        <v>2984</v>
      </c>
      <c r="J114" s="2900" t="s">
        <v>2985</v>
      </c>
      <c r="K114" s="2900" t="s">
        <v>2986</v>
      </c>
      <c r="L114" s="2900" t="s">
        <v>2987</v>
      </c>
      <c r="M114" s="2901" t="s">
        <v>2988</v>
      </c>
    </row>
    <row r="115" spans="1:13" ht="15">
      <c r="A115" s="909" t="s">
        <v>2873</v>
      </c>
      <c r="B115" s="910">
        <f>ROUND(0.9335-0.0094*B113,4)</f>
        <v>0.92390000000000005</v>
      </c>
      <c r="C115" s="910">
        <f>B115</f>
        <v>0.92390000000000005</v>
      </c>
      <c r="D115" s="910">
        <f>ROUND(0.8331-0.0109*B113,4)</f>
        <v>0.82199999999999995</v>
      </c>
      <c r="E115" s="910">
        <f>D115</f>
        <v>0.82199999999999995</v>
      </c>
      <c r="F115" s="910">
        <f>E115</f>
        <v>0.82199999999999995</v>
      </c>
      <c r="G115" s="910">
        <f>F115</f>
        <v>0.82199999999999995</v>
      </c>
      <c r="H115" s="910">
        <f>G115</f>
        <v>0.82199999999999995</v>
      </c>
      <c r="I115" s="910">
        <f>ROUND(0.689-0.0155*B113,4)</f>
        <v>0.67320000000000002</v>
      </c>
      <c r="J115" s="910">
        <f t="shared" ref="J115:M118" si="33">I115</f>
        <v>0.67320000000000002</v>
      </c>
      <c r="K115" s="910">
        <f t="shared" si="33"/>
        <v>0.67320000000000002</v>
      </c>
      <c r="L115" s="910">
        <f t="shared" si="33"/>
        <v>0.67320000000000002</v>
      </c>
      <c r="M115" s="911">
        <f t="shared" si="33"/>
        <v>0.67320000000000002</v>
      </c>
    </row>
    <row r="116" spans="1:13" ht="15">
      <c r="A116" s="909" t="s">
        <v>2874</v>
      </c>
      <c r="B116" s="910">
        <f>ROUND(0.949-0.012*B113,4)</f>
        <v>0.93679999999999997</v>
      </c>
      <c r="C116" s="910">
        <f>B116</f>
        <v>0.93679999999999997</v>
      </c>
      <c r="D116" s="910">
        <f>ROUND(0.8567-0.013*B113,4)</f>
        <v>0.84340000000000004</v>
      </c>
      <c r="E116" s="910">
        <f t="shared" ref="E116:H117" si="34">D116</f>
        <v>0.84340000000000004</v>
      </c>
      <c r="F116" s="910">
        <f t="shared" si="34"/>
        <v>0.84340000000000004</v>
      </c>
      <c r="G116" s="910">
        <f t="shared" si="34"/>
        <v>0.84340000000000004</v>
      </c>
      <c r="H116" s="910">
        <f t="shared" si="34"/>
        <v>0.84340000000000004</v>
      </c>
      <c r="I116" s="910">
        <f>ROUND(0.7694-0.014*B113,4)</f>
        <v>0.75509999999999999</v>
      </c>
      <c r="J116" s="910">
        <f t="shared" si="33"/>
        <v>0.75509999999999999</v>
      </c>
      <c r="K116" s="910">
        <f t="shared" si="33"/>
        <v>0.75509999999999999</v>
      </c>
      <c r="L116" s="910">
        <f t="shared" si="33"/>
        <v>0.75509999999999999</v>
      </c>
      <c r="M116" s="911">
        <f t="shared" si="33"/>
        <v>0.75509999999999999</v>
      </c>
    </row>
    <row r="117" spans="1:13" ht="15">
      <c r="A117" s="909" t="s">
        <v>2875</v>
      </c>
      <c r="B117" s="910">
        <f>ROUND(0.8808-0.006*B113,4)</f>
        <v>0.87470000000000003</v>
      </c>
      <c r="C117" s="910">
        <f>B117</f>
        <v>0.87470000000000003</v>
      </c>
      <c r="D117" s="910">
        <f>ROUND(0.8748-0.008*B113,4)</f>
        <v>0.86660000000000004</v>
      </c>
      <c r="E117" s="910">
        <f t="shared" si="34"/>
        <v>0.86660000000000004</v>
      </c>
      <c r="F117" s="910">
        <f t="shared" si="34"/>
        <v>0.86660000000000004</v>
      </c>
      <c r="G117" s="910">
        <f t="shared" si="34"/>
        <v>0.86660000000000004</v>
      </c>
      <c r="H117" s="910">
        <f t="shared" si="34"/>
        <v>0.86660000000000004</v>
      </c>
      <c r="I117" s="910">
        <f>ROUND(0.7412-0.0095*B113,4)</f>
        <v>0.73150000000000004</v>
      </c>
      <c r="J117" s="910">
        <f t="shared" si="33"/>
        <v>0.73150000000000004</v>
      </c>
      <c r="K117" s="910">
        <f t="shared" si="33"/>
        <v>0.73150000000000004</v>
      </c>
      <c r="L117" s="910">
        <f t="shared" si="33"/>
        <v>0.73150000000000004</v>
      </c>
      <c r="M117" s="911">
        <f t="shared" si="33"/>
        <v>0.73150000000000004</v>
      </c>
    </row>
    <row r="118" spans="1:13" ht="16" thickBot="1">
      <c r="A118" s="714" t="s">
        <v>2876</v>
      </c>
      <c r="B118" s="912">
        <f>ROUND(0.7275-0.01*B113,4)</f>
        <v>0.71730000000000005</v>
      </c>
      <c r="C118" s="912">
        <f>B118</f>
        <v>0.71730000000000005</v>
      </c>
      <c r="D118" s="912">
        <f>ROUND(0.7043-0.012*B113,4)</f>
        <v>0.69210000000000005</v>
      </c>
      <c r="E118" s="912">
        <f>D118</f>
        <v>0.69210000000000005</v>
      </c>
      <c r="F118" s="912">
        <f>E118</f>
        <v>0.69210000000000005</v>
      </c>
      <c r="G118" s="912">
        <f>ROUND(0.6299-0.0122*B113,4)</f>
        <v>0.61750000000000005</v>
      </c>
      <c r="H118" s="912">
        <f>G118</f>
        <v>0.61750000000000005</v>
      </c>
      <c r="I118" s="912">
        <f>ROUND(0.5667-0.0136*B113,4)</f>
        <v>0.55279999999999996</v>
      </c>
      <c r="J118" s="912">
        <f t="shared" si="33"/>
        <v>0.55279999999999996</v>
      </c>
      <c r="K118" s="912">
        <f t="shared" si="33"/>
        <v>0.55279999999999996</v>
      </c>
      <c r="L118" s="912">
        <f t="shared" si="33"/>
        <v>0.55279999999999996</v>
      </c>
      <c r="M118" s="913">
        <f t="shared" si="33"/>
        <v>0.55279999999999996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D00-000000000000}">
      <formula1>"500米范围内,500-1000米,1000米以外"</formula1>
    </dataValidation>
    <dataValidation type="list" allowBlank="1" showInputMessage="1" showErrorMessage="1" sqref="C14:E14" xr:uid="{00000000-0002-0000-2D00-000001000000}">
      <formula1>"有,无"</formula1>
    </dataValidation>
    <dataValidation type="list" allowBlank="1" showInputMessage="1" showErrorMessage="1" sqref="B21" xr:uid="{00000000-0002-0000-2D00-000002000000}">
      <formula1>"容积率修正,楼层修正"</formula1>
    </dataValidation>
    <dataValidation type="list" allowBlank="1" showInputMessage="1" showErrorMessage="1" sqref="F17" xr:uid="{00000000-0002-0000-2D00-000003000000}">
      <formula1>"与级别开发程度一致,与级别开发程度不一致"</formula1>
    </dataValidation>
    <dataValidation type="list" allowBlank="1" showInputMessage="1" showErrorMessage="1" sqref="E2" xr:uid="{00000000-0002-0000-2D00-000004000000}">
      <formula1>"商业,办公,住宅,工业"</formula1>
    </dataValidation>
    <dataValidation type="list" allowBlank="1" showInputMessage="1" showErrorMessage="1" sqref="F3" xr:uid="{00000000-0002-0000-2D00-000005000000}">
      <formula1>"宗地容积率,估价对象容积率,自定义容积率"</formula1>
    </dataValidation>
    <dataValidation type="list" allowBlank="1" showInputMessage="1" showErrorMessage="1" sqref="C8" xr:uid="{00000000-0002-0000-2D00-000006000000}">
      <formula1>商业街名称</formula1>
    </dataValidation>
    <dataValidation type="list" allowBlank="1" showInputMessage="1" showErrorMessage="1" sqref="E3" xr:uid="{00000000-0002-0000-2D00-000007000000}">
      <formula1>二级分类</formula1>
    </dataValidation>
    <dataValidation type="list" allowBlank="1" showInputMessage="1" showErrorMessage="1" sqref="C81:C88 C70:C78 C48:C56 C59:C67" xr:uid="{00000000-0002-0000-2D00-000008000000}">
      <formula1>五等判定</formula1>
    </dataValidation>
    <dataValidation type="list" allowBlank="1" showInputMessage="1" showErrorMessage="1" sqref="H19" xr:uid="{00000000-0002-0000-2D00-000009000000}">
      <formula1>"地价指数,季度增幅（自定义）,按公示增长率计算"</formula1>
    </dataValidation>
    <dataValidation type="list" allowBlank="1" showInputMessage="1" showErrorMessage="1" sqref="H16:O16" xr:uid="{00000000-0002-0000-2D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19"/>
  <sheetViews>
    <sheetView workbookViewId="0">
      <selection activeCell="A15" sqref="A15:M15"/>
    </sheetView>
  </sheetViews>
  <sheetFormatPr baseColWidth="10" defaultColWidth="8.1640625" defaultRowHeight="19.5" customHeight="1"/>
  <cols>
    <col min="1" max="1" width="13.6640625" style="816" customWidth="1"/>
    <col min="2" max="9" width="8.1640625" style="878" customWidth="1"/>
    <col min="10" max="13" width="8.1640625" style="816"/>
    <col min="14" max="14" width="10" style="816" customWidth="1"/>
    <col min="15" max="16" width="8.1640625" style="816"/>
    <col min="17" max="17" width="34.1640625" style="816" customWidth="1"/>
    <col min="18" max="18" width="8.1640625" style="816" customWidth="1"/>
    <col min="19" max="19" width="8.1640625" style="816"/>
    <col min="20" max="20" width="11.6640625" style="816" customWidth="1"/>
    <col min="21" max="16384" width="8.16406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92" t="s">
        <v>183</v>
      </c>
      <c r="B18" s="882" t="s">
        <v>560</v>
      </c>
      <c r="C18" s="883" t="s">
        <v>561</v>
      </c>
      <c r="D18" s="884"/>
      <c r="E18" s="882">
        <v>1</v>
      </c>
      <c r="F18" s="885" t="s">
        <v>562</v>
      </c>
      <c r="G18" s="886"/>
      <c r="H18" s="878"/>
      <c r="I18" s="878"/>
    </row>
    <row r="19" spans="1:9" s="887" customFormat="1" ht="19.5" customHeight="1">
      <c r="A19" s="3592"/>
      <c r="B19" s="3592" t="s">
        <v>563</v>
      </c>
      <c r="C19" s="883" t="s">
        <v>564</v>
      </c>
      <c r="D19" s="884"/>
      <c r="E19" s="882">
        <v>0.9</v>
      </c>
      <c r="F19" s="885" t="s">
        <v>565</v>
      </c>
      <c r="G19" s="886"/>
      <c r="H19" s="878"/>
      <c r="I19" s="878"/>
    </row>
    <row r="20" spans="1:9" s="887" customFormat="1" ht="19.5" customHeight="1">
      <c r="A20" s="3592"/>
      <c r="B20" s="3592"/>
      <c r="C20" s="883" t="s">
        <v>566</v>
      </c>
      <c r="D20" s="884"/>
      <c r="E20" s="882">
        <v>1.1000000000000001</v>
      </c>
      <c r="F20" s="885" t="s">
        <v>567</v>
      </c>
      <c r="G20" s="886"/>
      <c r="H20" s="878"/>
      <c r="I20" s="878"/>
    </row>
    <row r="21" spans="1:9" s="887" customFormat="1" ht="19.5" customHeight="1">
      <c r="A21" s="3592"/>
      <c r="B21" s="3592"/>
      <c r="C21" s="883" t="s">
        <v>568</v>
      </c>
      <c r="D21" s="884"/>
      <c r="E21" s="882">
        <v>0.8</v>
      </c>
      <c r="F21" s="885" t="s">
        <v>569</v>
      </c>
      <c r="G21" s="886"/>
      <c r="H21" s="878"/>
      <c r="I21" s="878"/>
    </row>
    <row r="22" spans="1:9" s="887" customFormat="1" ht="19.5" customHeight="1">
      <c r="A22" s="3592"/>
      <c r="B22" s="3592"/>
      <c r="C22" s="883" t="s">
        <v>570</v>
      </c>
      <c r="D22" s="884"/>
      <c r="E22" s="882">
        <v>0.5</v>
      </c>
      <c r="F22" s="885"/>
      <c r="G22" s="886"/>
      <c r="H22" s="878"/>
      <c r="I22" s="878"/>
    </row>
    <row r="23" spans="1:9" s="887" customFormat="1" ht="19.5" customHeight="1">
      <c r="A23" s="3592" t="s">
        <v>184</v>
      </c>
      <c r="B23" s="882" t="s">
        <v>560</v>
      </c>
      <c r="C23" s="883" t="s">
        <v>571</v>
      </c>
      <c r="D23" s="884"/>
      <c r="E23" s="882">
        <v>1</v>
      </c>
      <c r="F23" s="885" t="s">
        <v>572</v>
      </c>
      <c r="G23" s="886"/>
      <c r="H23" s="878"/>
      <c r="I23" s="878"/>
    </row>
    <row r="24" spans="1:9" s="887" customFormat="1" ht="19.5" customHeight="1">
      <c r="A24" s="3592"/>
      <c r="B24" s="3592" t="s">
        <v>563</v>
      </c>
      <c r="C24" s="883" t="s">
        <v>573</v>
      </c>
      <c r="D24" s="884"/>
      <c r="E24" s="882">
        <v>0.5</v>
      </c>
      <c r="F24" s="885"/>
      <c r="G24" s="886"/>
      <c r="H24" s="878"/>
      <c r="I24" s="878"/>
    </row>
    <row r="25" spans="1:9" s="887" customFormat="1" ht="19.5" customHeight="1">
      <c r="A25" s="3592"/>
      <c r="B25" s="3592"/>
      <c r="C25" s="883" t="s">
        <v>574</v>
      </c>
      <c r="D25" s="884"/>
      <c r="E25" s="882">
        <v>1.1000000000000001</v>
      </c>
      <c r="F25" s="885"/>
      <c r="G25" s="886"/>
      <c r="H25" s="878"/>
      <c r="I25" s="878"/>
    </row>
    <row r="26" spans="1:9" s="887" customFormat="1" ht="19.5" customHeight="1">
      <c r="A26" s="3592"/>
      <c r="B26" s="3592"/>
      <c r="C26" s="883" t="s">
        <v>575</v>
      </c>
      <c r="D26" s="884"/>
      <c r="E26" s="882">
        <v>1.1000000000000001</v>
      </c>
      <c r="F26" s="885"/>
      <c r="G26" s="886"/>
      <c r="H26" s="878"/>
      <c r="I26" s="878"/>
    </row>
    <row r="27" spans="1:9" s="887" customFormat="1" ht="19.5" customHeight="1">
      <c r="A27" s="3592"/>
      <c r="B27" s="3592"/>
      <c r="C27" s="883" t="s">
        <v>576</v>
      </c>
      <c r="D27" s="884"/>
      <c r="E27" s="882">
        <v>0.9</v>
      </c>
      <c r="F27" s="885" t="s">
        <v>577</v>
      </c>
      <c r="G27" s="886"/>
      <c r="H27" s="878"/>
      <c r="I27" s="878"/>
    </row>
    <row r="28" spans="1:9" s="887" customFormat="1" ht="19.5" customHeight="1">
      <c r="A28" s="3592"/>
      <c r="B28" s="3592"/>
      <c r="C28" s="883" t="s">
        <v>578</v>
      </c>
      <c r="D28" s="884"/>
      <c r="E28" s="882">
        <v>0.9</v>
      </c>
      <c r="F28" s="885" t="s">
        <v>579</v>
      </c>
      <c r="G28" s="886"/>
      <c r="H28" s="878"/>
      <c r="I28" s="878"/>
    </row>
    <row r="29" spans="1:9" s="887" customFormat="1" ht="19.5" customHeight="1">
      <c r="A29" s="3592"/>
      <c r="B29" s="3592"/>
      <c r="C29" s="883" t="s">
        <v>580</v>
      </c>
      <c r="D29" s="884"/>
      <c r="E29" s="882">
        <v>0.9</v>
      </c>
      <c r="F29" s="885" t="s">
        <v>581</v>
      </c>
      <c r="G29" s="886"/>
      <c r="H29" s="878"/>
      <c r="I29" s="878"/>
    </row>
    <row r="30" spans="1:9" s="887" customFormat="1" ht="19.5" customHeight="1">
      <c r="A30" s="3592"/>
      <c r="B30" s="3592"/>
      <c r="C30" s="883" t="s">
        <v>582</v>
      </c>
      <c r="D30" s="884"/>
      <c r="E30" s="882">
        <v>0.9</v>
      </c>
      <c r="F30" s="885" t="s">
        <v>583</v>
      </c>
      <c r="G30" s="886"/>
      <c r="H30" s="878"/>
      <c r="I30" s="878"/>
    </row>
    <row r="31" spans="1:9" s="887" customFormat="1" ht="19.5" customHeight="1">
      <c r="A31" s="3592"/>
      <c r="B31" s="3592"/>
      <c r="C31" s="883" t="s">
        <v>584</v>
      </c>
      <c r="D31" s="884"/>
      <c r="E31" s="882">
        <v>0.8</v>
      </c>
      <c r="F31" s="885" t="s">
        <v>585</v>
      </c>
      <c r="G31" s="886"/>
      <c r="H31" s="878"/>
      <c r="I31" s="878"/>
    </row>
    <row r="32" spans="1:9" s="887" customFormat="1" ht="19.5" customHeight="1">
      <c r="A32" s="3592"/>
      <c r="B32" s="3592"/>
      <c r="C32" s="883" t="s">
        <v>586</v>
      </c>
      <c r="D32" s="884"/>
      <c r="E32" s="882">
        <v>0.8</v>
      </c>
      <c r="F32" s="885" t="s">
        <v>587</v>
      </c>
      <c r="G32" s="886"/>
      <c r="H32" s="878"/>
      <c r="I32" s="878"/>
    </row>
    <row r="33" spans="1:9" s="887" customFormat="1" ht="19.5" customHeight="1">
      <c r="A33" s="3592" t="s">
        <v>185</v>
      </c>
      <c r="B33" s="882" t="s">
        <v>560</v>
      </c>
      <c r="C33" s="883" t="s">
        <v>588</v>
      </c>
      <c r="D33" s="884"/>
      <c r="E33" s="882">
        <v>1</v>
      </c>
      <c r="F33" s="885" t="s">
        <v>589</v>
      </c>
      <c r="G33" s="886"/>
      <c r="H33" s="878"/>
      <c r="I33" s="878"/>
    </row>
    <row r="34" spans="1:9" s="887" customFormat="1" ht="19.5" customHeight="1">
      <c r="A34" s="3592"/>
      <c r="B34" s="882" t="s">
        <v>563</v>
      </c>
      <c r="C34" s="883" t="s">
        <v>590</v>
      </c>
      <c r="D34" s="884"/>
      <c r="E34" s="882">
        <v>1.5</v>
      </c>
      <c r="F34" s="885" t="s">
        <v>591</v>
      </c>
      <c r="G34" s="886"/>
      <c r="H34" s="878"/>
      <c r="I34" s="878"/>
    </row>
    <row r="35" spans="1:9" s="887" customFormat="1" ht="19.5" customHeight="1">
      <c r="A35" s="3592" t="s">
        <v>186</v>
      </c>
      <c r="B35" s="882" t="s">
        <v>560</v>
      </c>
      <c r="C35" s="883" t="s">
        <v>592</v>
      </c>
      <c r="D35" s="884"/>
      <c r="E35" s="882">
        <v>1</v>
      </c>
      <c r="F35" s="885" t="s">
        <v>593</v>
      </c>
      <c r="G35" s="886"/>
      <c r="H35" s="878"/>
      <c r="I35" s="878"/>
    </row>
    <row r="36" spans="1:9" s="887" customFormat="1" ht="19.5" customHeight="1">
      <c r="A36" s="3592"/>
      <c r="B36" s="3592" t="s">
        <v>563</v>
      </c>
      <c r="C36" s="883" t="s">
        <v>594</v>
      </c>
      <c r="D36" s="884"/>
      <c r="E36" s="882">
        <v>1</v>
      </c>
      <c r="F36" s="885" t="s">
        <v>595</v>
      </c>
      <c r="G36" s="886"/>
      <c r="H36" s="878"/>
      <c r="I36" s="878"/>
    </row>
    <row r="37" spans="1:9" s="887" customFormat="1" ht="19.5" customHeight="1">
      <c r="A37" s="3592"/>
      <c r="B37" s="3592"/>
      <c r="C37" s="883" t="s">
        <v>596</v>
      </c>
      <c r="D37" s="884"/>
      <c r="E37" s="882">
        <v>1.5</v>
      </c>
      <c r="F37" s="885" t="s">
        <v>597</v>
      </c>
      <c r="G37" s="886"/>
      <c r="H37" s="878"/>
      <c r="I37" s="878"/>
    </row>
    <row r="38" spans="1:9" s="887" customFormat="1" ht="19.5" customHeight="1">
      <c r="A38" s="3592"/>
      <c r="B38" s="3592"/>
      <c r="C38" s="883" t="s">
        <v>598</v>
      </c>
      <c r="D38" s="884"/>
      <c r="E38" s="882">
        <v>1</v>
      </c>
      <c r="F38" s="885" t="s">
        <v>599</v>
      </c>
      <c r="G38" s="886"/>
      <c r="H38" s="878"/>
      <c r="I38" s="878"/>
    </row>
    <row r="39" spans="1:9" s="887" customFormat="1" ht="19.5" customHeight="1">
      <c r="A39" s="3592"/>
      <c r="B39" s="359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30">
      <c r="A61" s="882">
        <v>1</v>
      </c>
      <c r="B61" s="3592" t="s">
        <v>614</v>
      </c>
      <c r="C61" s="818" t="s">
        <v>615</v>
      </c>
      <c r="D61" s="818" t="s">
        <v>616</v>
      </c>
      <c r="E61" s="895">
        <v>0.5</v>
      </c>
      <c r="F61" s="882">
        <v>80</v>
      </c>
    </row>
    <row r="62" spans="1:8" s="878" customFormat="1" ht="30">
      <c r="A62" s="882">
        <v>2</v>
      </c>
      <c r="B62" s="3592"/>
      <c r="C62" s="818" t="s">
        <v>617</v>
      </c>
      <c r="D62" s="818" t="s">
        <v>618</v>
      </c>
      <c r="E62" s="895">
        <v>0.5</v>
      </c>
      <c r="F62" s="882">
        <v>80</v>
      </c>
    </row>
    <row r="63" spans="1:8" s="878" customFormat="1" ht="45">
      <c r="A63" s="882">
        <v>3</v>
      </c>
      <c r="B63" s="3592"/>
      <c r="C63" s="818" t="s">
        <v>619</v>
      </c>
      <c r="D63" s="818" t="s">
        <v>620</v>
      </c>
      <c r="E63" s="895">
        <v>0.5</v>
      </c>
      <c r="F63" s="882">
        <v>80</v>
      </c>
    </row>
    <row r="64" spans="1:8" s="878" customFormat="1" ht="45">
      <c r="A64" s="882">
        <v>4</v>
      </c>
      <c r="B64" s="3592"/>
      <c r="C64" s="818" t="s">
        <v>621</v>
      </c>
      <c r="D64" s="818" t="s">
        <v>622</v>
      </c>
      <c r="E64" s="895">
        <v>0.4</v>
      </c>
      <c r="F64" s="882">
        <v>60</v>
      </c>
    </row>
    <row r="65" spans="1:6" s="878" customFormat="1" ht="45">
      <c r="A65" s="882">
        <v>5</v>
      </c>
      <c r="B65" s="3592"/>
      <c r="C65" s="818" t="s">
        <v>623</v>
      </c>
      <c r="D65" s="818" t="s">
        <v>624</v>
      </c>
      <c r="E65" s="895">
        <v>0.2</v>
      </c>
      <c r="F65" s="882">
        <v>30</v>
      </c>
    </row>
    <row r="66" spans="1:6" s="878" customFormat="1" ht="45">
      <c r="A66" s="882">
        <v>6</v>
      </c>
      <c r="B66" s="3592"/>
      <c r="C66" s="818" t="s">
        <v>625</v>
      </c>
      <c r="D66" s="818" t="s">
        <v>626</v>
      </c>
      <c r="E66" s="895">
        <v>0.3</v>
      </c>
      <c r="F66" s="882">
        <v>50</v>
      </c>
    </row>
    <row r="67" spans="1:6" s="878" customFormat="1" ht="45">
      <c r="A67" s="882">
        <v>7</v>
      </c>
      <c r="B67" s="3592"/>
      <c r="C67" s="818" t="s">
        <v>627</v>
      </c>
      <c r="D67" s="818" t="s">
        <v>628</v>
      </c>
      <c r="E67" s="895">
        <v>0.2</v>
      </c>
      <c r="F67" s="882">
        <v>30</v>
      </c>
    </row>
    <row r="68" spans="1:6" s="878" customFormat="1" ht="45">
      <c r="A68" s="882">
        <v>8</v>
      </c>
      <c r="B68" s="3592"/>
      <c r="C68" s="818" t="s">
        <v>629</v>
      </c>
      <c r="D68" s="818" t="s">
        <v>630</v>
      </c>
      <c r="E68" s="895">
        <v>0.2</v>
      </c>
      <c r="F68" s="882">
        <v>30</v>
      </c>
    </row>
    <row r="69" spans="1:6" s="878" customFormat="1" ht="45">
      <c r="A69" s="882">
        <v>9</v>
      </c>
      <c r="B69" s="3592"/>
      <c r="C69" s="818" t="s">
        <v>631</v>
      </c>
      <c r="D69" s="818" t="s">
        <v>632</v>
      </c>
      <c r="E69" s="895">
        <v>0.2</v>
      </c>
      <c r="F69" s="882">
        <v>30</v>
      </c>
    </row>
    <row r="70" spans="1:6" s="878" customFormat="1" ht="60">
      <c r="A70" s="882">
        <v>10</v>
      </c>
      <c r="B70" s="3592"/>
      <c r="C70" s="818" t="s">
        <v>633</v>
      </c>
      <c r="D70" s="818" t="s">
        <v>634</v>
      </c>
      <c r="E70" s="895">
        <v>0.2</v>
      </c>
      <c r="F70" s="882">
        <v>30</v>
      </c>
    </row>
    <row r="71" spans="1:6" s="878" customFormat="1" ht="60">
      <c r="A71" s="882">
        <v>11</v>
      </c>
      <c r="B71" s="3592"/>
      <c r="C71" s="818" t="s">
        <v>635</v>
      </c>
      <c r="D71" s="818" t="s">
        <v>636</v>
      </c>
      <c r="E71" s="895">
        <v>0.2</v>
      </c>
      <c r="F71" s="882">
        <v>30</v>
      </c>
    </row>
    <row r="72" spans="1:6" s="878" customFormat="1" ht="45">
      <c r="A72" s="882">
        <v>12</v>
      </c>
      <c r="B72" s="3592"/>
      <c r="C72" s="818" t="s">
        <v>637</v>
      </c>
      <c r="D72" s="818" t="s">
        <v>638</v>
      </c>
      <c r="E72" s="895">
        <v>0.5</v>
      </c>
      <c r="F72" s="882">
        <v>80</v>
      </c>
    </row>
    <row r="73" spans="1:6" s="878" customFormat="1" ht="30">
      <c r="A73" s="882">
        <v>13</v>
      </c>
      <c r="B73" s="3592"/>
      <c r="C73" s="818" t="s">
        <v>639</v>
      </c>
      <c r="D73" s="818" t="s">
        <v>640</v>
      </c>
      <c r="E73" s="895">
        <v>0.4</v>
      </c>
      <c r="F73" s="882">
        <v>60</v>
      </c>
    </row>
    <row r="74" spans="1:6" s="878" customFormat="1" ht="30">
      <c r="A74" s="882">
        <v>14</v>
      </c>
      <c r="B74" s="3592"/>
      <c r="C74" s="818" t="s">
        <v>641</v>
      </c>
      <c r="D74" s="818" t="s">
        <v>642</v>
      </c>
      <c r="E74" s="895">
        <v>0.2</v>
      </c>
      <c r="F74" s="882">
        <v>30</v>
      </c>
    </row>
    <row r="75" spans="1:6" s="878" customFormat="1" ht="30">
      <c r="A75" s="882">
        <v>15</v>
      </c>
      <c r="B75" s="3592"/>
      <c r="C75" s="818" t="s">
        <v>643</v>
      </c>
      <c r="D75" s="818" t="s">
        <v>644</v>
      </c>
      <c r="E75" s="895">
        <v>0.2</v>
      </c>
      <c r="F75" s="882">
        <v>30</v>
      </c>
    </row>
    <row r="76" spans="1:6" s="878" customFormat="1" ht="30">
      <c r="A76" s="882">
        <v>16</v>
      </c>
      <c r="B76" s="3592" t="s">
        <v>645</v>
      </c>
      <c r="C76" s="818" t="s">
        <v>646</v>
      </c>
      <c r="D76" s="818" t="s">
        <v>647</v>
      </c>
      <c r="E76" s="895">
        <v>0.5</v>
      </c>
      <c r="F76" s="882">
        <v>80</v>
      </c>
    </row>
    <row r="77" spans="1:6" s="878" customFormat="1" ht="30">
      <c r="A77" s="882">
        <v>17</v>
      </c>
      <c r="B77" s="3592"/>
      <c r="C77" s="818" t="s">
        <v>648</v>
      </c>
      <c r="D77" s="818" t="s">
        <v>649</v>
      </c>
      <c r="E77" s="895">
        <v>0.5</v>
      </c>
      <c r="F77" s="882">
        <v>80</v>
      </c>
    </row>
    <row r="78" spans="1:6" s="878" customFormat="1" ht="30">
      <c r="A78" s="882">
        <v>18</v>
      </c>
      <c r="B78" s="3592"/>
      <c r="C78" s="818" t="s">
        <v>650</v>
      </c>
      <c r="D78" s="818" t="s">
        <v>651</v>
      </c>
      <c r="E78" s="895">
        <v>0.2</v>
      </c>
      <c r="F78" s="882">
        <v>30</v>
      </c>
    </row>
    <row r="79" spans="1:6" s="878" customFormat="1" ht="30">
      <c r="A79" s="882">
        <v>19</v>
      </c>
      <c r="B79" s="3592"/>
      <c r="C79" s="818" t="s">
        <v>652</v>
      </c>
      <c r="D79" s="818" t="s">
        <v>653</v>
      </c>
      <c r="E79" s="895">
        <v>0.5</v>
      </c>
      <c r="F79" s="882">
        <v>80</v>
      </c>
    </row>
    <row r="80" spans="1:6" s="878" customFormat="1" ht="45">
      <c r="A80" s="882">
        <v>20</v>
      </c>
      <c r="B80" s="3592"/>
      <c r="C80" s="818" t="s">
        <v>654</v>
      </c>
      <c r="D80" s="818" t="s">
        <v>655</v>
      </c>
      <c r="E80" s="895">
        <v>0.2</v>
      </c>
      <c r="F80" s="882">
        <v>30</v>
      </c>
    </row>
    <row r="81" spans="1:6" s="878" customFormat="1" ht="45">
      <c r="A81" s="882">
        <v>21</v>
      </c>
      <c r="B81" s="3592"/>
      <c r="C81" s="818" t="s">
        <v>656</v>
      </c>
      <c r="D81" s="818" t="s">
        <v>657</v>
      </c>
      <c r="E81" s="895">
        <v>0.2</v>
      </c>
      <c r="F81" s="882">
        <v>30</v>
      </c>
    </row>
    <row r="82" spans="1:6" s="878" customFormat="1" ht="60">
      <c r="A82" s="882">
        <v>22</v>
      </c>
      <c r="B82" s="3592"/>
      <c r="C82" s="818" t="s">
        <v>658</v>
      </c>
      <c r="D82" s="818" t="s">
        <v>659</v>
      </c>
      <c r="E82" s="895">
        <v>0.2</v>
      </c>
      <c r="F82" s="882">
        <v>30</v>
      </c>
    </row>
    <row r="83" spans="1:6" s="878" customFormat="1" ht="60">
      <c r="A83" s="882">
        <v>23</v>
      </c>
      <c r="B83" s="3592"/>
      <c r="C83" s="818" t="s">
        <v>660</v>
      </c>
      <c r="D83" s="818" t="s">
        <v>661</v>
      </c>
      <c r="E83" s="895">
        <v>0.2</v>
      </c>
      <c r="F83" s="882">
        <v>30</v>
      </c>
    </row>
    <row r="84" spans="1:6" s="878" customFormat="1" ht="45">
      <c r="A84" s="882">
        <v>24</v>
      </c>
      <c r="B84" s="3592"/>
      <c r="C84" s="818" t="s">
        <v>662</v>
      </c>
      <c r="D84" s="818" t="s">
        <v>663</v>
      </c>
      <c r="E84" s="895">
        <v>0.2</v>
      </c>
      <c r="F84" s="882">
        <v>30</v>
      </c>
    </row>
    <row r="85" spans="1:6" s="878" customFormat="1" ht="45">
      <c r="A85" s="882">
        <v>25</v>
      </c>
      <c r="B85" s="3592"/>
      <c r="C85" s="818" t="s">
        <v>664</v>
      </c>
      <c r="D85" s="818" t="s">
        <v>665</v>
      </c>
      <c r="E85" s="895">
        <v>0.5</v>
      </c>
      <c r="F85" s="882">
        <v>80</v>
      </c>
    </row>
    <row r="86" spans="1:6" s="878" customFormat="1" ht="45">
      <c r="A86" s="882">
        <v>26</v>
      </c>
      <c r="B86" s="3592"/>
      <c r="C86" s="818" t="s">
        <v>666</v>
      </c>
      <c r="D86" s="818" t="s">
        <v>667</v>
      </c>
      <c r="E86" s="895">
        <v>0.2</v>
      </c>
      <c r="F86" s="882">
        <v>30</v>
      </c>
    </row>
    <row r="87" spans="1:6" s="878" customFormat="1" ht="45">
      <c r="A87" s="882">
        <v>27</v>
      </c>
      <c r="B87" s="3592"/>
      <c r="C87" s="818" t="s">
        <v>668</v>
      </c>
      <c r="D87" s="818" t="s">
        <v>669</v>
      </c>
      <c r="E87" s="895">
        <v>0.2</v>
      </c>
      <c r="F87" s="882">
        <v>30</v>
      </c>
    </row>
    <row r="88" spans="1:6" s="878" customFormat="1" ht="45">
      <c r="A88" s="882">
        <v>28</v>
      </c>
      <c r="B88" s="3592"/>
      <c r="C88" s="818" t="s">
        <v>670</v>
      </c>
      <c r="D88" s="818" t="s">
        <v>671</v>
      </c>
      <c r="E88" s="895">
        <v>0.2</v>
      </c>
      <c r="F88" s="882">
        <v>30</v>
      </c>
    </row>
    <row r="89" spans="1:6" s="878" customFormat="1" ht="30">
      <c r="A89" s="882">
        <v>29</v>
      </c>
      <c r="B89" s="3592"/>
      <c r="C89" s="818" t="s">
        <v>672</v>
      </c>
      <c r="D89" s="818" t="s">
        <v>673</v>
      </c>
      <c r="E89" s="895">
        <v>0.2</v>
      </c>
      <c r="F89" s="882">
        <v>30</v>
      </c>
    </row>
    <row r="90" spans="1:6" s="878" customFormat="1" ht="30">
      <c r="A90" s="882">
        <v>30</v>
      </c>
      <c r="B90" s="3592"/>
      <c r="C90" s="818" t="s">
        <v>674</v>
      </c>
      <c r="D90" s="818" t="s">
        <v>675</v>
      </c>
      <c r="E90" s="895">
        <v>0.2</v>
      </c>
      <c r="F90" s="882">
        <v>30</v>
      </c>
    </row>
    <row r="91" spans="1:6" s="878" customFormat="1" ht="45">
      <c r="A91" s="882">
        <v>31</v>
      </c>
      <c r="B91" s="3592"/>
      <c r="C91" s="818" t="s">
        <v>676</v>
      </c>
      <c r="D91" s="818" t="s">
        <v>677</v>
      </c>
      <c r="E91" s="895">
        <v>0.2</v>
      </c>
      <c r="F91" s="882">
        <v>30</v>
      </c>
    </row>
    <row r="92" spans="1:6" s="878" customFormat="1" ht="30">
      <c r="A92" s="882">
        <v>32</v>
      </c>
      <c r="B92" s="3592" t="s">
        <v>678</v>
      </c>
      <c r="C92" s="882" t="s">
        <v>679</v>
      </c>
      <c r="D92" s="818" t="s">
        <v>680</v>
      </c>
      <c r="E92" s="895">
        <v>0.2</v>
      </c>
      <c r="F92" s="882">
        <v>30</v>
      </c>
    </row>
    <row r="93" spans="1:6" s="878" customFormat="1" ht="45">
      <c r="A93" s="882">
        <v>33</v>
      </c>
      <c r="B93" s="3592"/>
      <c r="C93" s="882" t="s">
        <v>681</v>
      </c>
      <c r="D93" s="818" t="s">
        <v>682</v>
      </c>
      <c r="E93" s="895">
        <v>0.2</v>
      </c>
      <c r="F93" s="882">
        <v>30</v>
      </c>
    </row>
    <row r="94" spans="1:6" s="878" customFormat="1" ht="60">
      <c r="A94" s="882">
        <v>34</v>
      </c>
      <c r="B94" s="3592"/>
      <c r="C94" s="882" t="s">
        <v>683</v>
      </c>
      <c r="D94" s="818" t="s">
        <v>684</v>
      </c>
      <c r="E94" s="895">
        <v>0.2</v>
      </c>
      <c r="F94" s="882">
        <v>30</v>
      </c>
    </row>
    <row r="95" spans="1:6" s="878" customFormat="1" ht="45">
      <c r="A95" s="882">
        <v>35</v>
      </c>
      <c r="B95" s="3592"/>
      <c r="C95" s="882" t="s">
        <v>685</v>
      </c>
      <c r="D95" s="818" t="s">
        <v>686</v>
      </c>
      <c r="E95" s="895">
        <v>0.2</v>
      </c>
      <c r="F95" s="882">
        <v>30</v>
      </c>
    </row>
    <row r="96" spans="1:6" s="878" customFormat="1" ht="60">
      <c r="A96" s="882">
        <v>36</v>
      </c>
      <c r="B96" s="3592"/>
      <c r="C96" s="818" t="s">
        <v>687</v>
      </c>
      <c r="D96" s="818" t="s">
        <v>688</v>
      </c>
      <c r="E96" s="895">
        <v>0.2</v>
      </c>
      <c r="F96" s="882">
        <v>30</v>
      </c>
    </row>
    <row r="97" spans="1:6" s="878" customFormat="1" ht="45">
      <c r="A97" s="882">
        <v>37</v>
      </c>
      <c r="B97" s="3592"/>
      <c r="C97" s="882" t="s">
        <v>689</v>
      </c>
      <c r="D97" s="818" t="s">
        <v>690</v>
      </c>
      <c r="E97" s="895">
        <v>0.2</v>
      </c>
      <c r="F97" s="882">
        <v>30</v>
      </c>
    </row>
    <row r="98" spans="1:6" s="878" customFormat="1" ht="45">
      <c r="A98" s="882">
        <v>38</v>
      </c>
      <c r="B98" s="3592"/>
      <c r="C98" s="882" t="s">
        <v>691</v>
      </c>
      <c r="D98" s="818" t="s">
        <v>692</v>
      </c>
      <c r="E98" s="895">
        <v>0.2</v>
      </c>
      <c r="F98" s="882">
        <v>30</v>
      </c>
    </row>
    <row r="99" spans="1:6" s="878" customFormat="1" ht="45">
      <c r="A99" s="882">
        <v>39</v>
      </c>
      <c r="B99" s="3592" t="s">
        <v>693</v>
      </c>
      <c r="C99" s="882" t="s">
        <v>694</v>
      </c>
      <c r="D99" s="818" t="s">
        <v>695</v>
      </c>
      <c r="E99" s="895">
        <v>0.3</v>
      </c>
      <c r="F99" s="882">
        <v>50</v>
      </c>
    </row>
    <row r="100" spans="1:6" s="878" customFormat="1" ht="30">
      <c r="A100" s="882">
        <v>40</v>
      </c>
      <c r="B100" s="3592"/>
      <c r="C100" s="882" t="s">
        <v>696</v>
      </c>
      <c r="D100" s="818" t="s">
        <v>697</v>
      </c>
      <c r="E100" s="895">
        <v>0.2</v>
      </c>
      <c r="F100" s="882">
        <v>30</v>
      </c>
    </row>
    <row r="101" spans="1:6" s="878" customFormat="1" ht="45">
      <c r="A101" s="882">
        <v>41</v>
      </c>
      <c r="B101" s="3592"/>
      <c r="C101" s="882" t="s">
        <v>698</v>
      </c>
      <c r="D101" s="818" t="s">
        <v>695</v>
      </c>
      <c r="E101" s="895">
        <v>0.2</v>
      </c>
      <c r="F101" s="882">
        <v>30</v>
      </c>
    </row>
    <row r="102" spans="1:6" s="878" customFormat="1" ht="60">
      <c r="A102" s="882">
        <v>42</v>
      </c>
      <c r="B102" s="882" t="s">
        <v>699</v>
      </c>
      <c r="C102" s="818" t="s">
        <v>700</v>
      </c>
      <c r="D102" s="818" t="s">
        <v>701</v>
      </c>
      <c r="E102" s="895">
        <v>0.2</v>
      </c>
      <c r="F102" s="882">
        <v>30</v>
      </c>
    </row>
    <row r="103" spans="1:6" s="878" customFormat="1" ht="30">
      <c r="A103" s="882">
        <v>43</v>
      </c>
      <c r="B103" s="882" t="s">
        <v>702</v>
      </c>
      <c r="C103" s="882" t="s">
        <v>703</v>
      </c>
      <c r="D103" s="818" t="s">
        <v>704</v>
      </c>
      <c r="E103" s="895">
        <v>0.2</v>
      </c>
      <c r="F103" s="882">
        <v>30</v>
      </c>
    </row>
    <row r="104" spans="1:6" s="878" customFormat="1" ht="45">
      <c r="A104" s="882">
        <v>44</v>
      </c>
      <c r="B104" s="882" t="s">
        <v>705</v>
      </c>
      <c r="C104" s="882" t="s">
        <v>706</v>
      </c>
      <c r="D104" s="818" t="s">
        <v>707</v>
      </c>
      <c r="E104" s="895">
        <v>0.2</v>
      </c>
      <c r="F104" s="882">
        <v>30</v>
      </c>
    </row>
    <row r="105" spans="1:6" s="878" customFormat="1" ht="45">
      <c r="A105" s="882">
        <v>45</v>
      </c>
      <c r="B105" s="3592" t="s">
        <v>708</v>
      </c>
      <c r="C105" s="882" t="s">
        <v>709</v>
      </c>
      <c r="D105" s="818" t="s">
        <v>710</v>
      </c>
      <c r="E105" s="895">
        <v>0.2</v>
      </c>
      <c r="F105" s="882">
        <v>30</v>
      </c>
    </row>
    <row r="106" spans="1:6" s="878" customFormat="1" ht="45">
      <c r="A106" s="882">
        <v>46</v>
      </c>
      <c r="B106" s="3592"/>
      <c r="C106" s="882" t="s">
        <v>711</v>
      </c>
      <c r="D106" s="818" t="s">
        <v>712</v>
      </c>
      <c r="E106" s="895">
        <v>0.2</v>
      </c>
      <c r="F106" s="882">
        <v>30</v>
      </c>
    </row>
    <row r="107" spans="1:6" s="878" customFormat="1" ht="45">
      <c r="A107" s="882">
        <v>47</v>
      </c>
      <c r="B107" s="3592" t="s">
        <v>713</v>
      </c>
      <c r="C107" s="882" t="s">
        <v>714</v>
      </c>
      <c r="D107" s="818" t="s">
        <v>715</v>
      </c>
      <c r="E107" s="895">
        <v>0.3</v>
      </c>
      <c r="F107" s="882">
        <v>50</v>
      </c>
    </row>
    <row r="108" spans="1:6" s="878" customFormat="1" ht="45">
      <c r="A108" s="882">
        <v>48</v>
      </c>
      <c r="B108" s="3592"/>
      <c r="C108" s="882" t="s">
        <v>716</v>
      </c>
      <c r="D108" s="818" t="s">
        <v>717</v>
      </c>
      <c r="E108" s="895">
        <v>0.2</v>
      </c>
      <c r="F108" s="882">
        <v>30</v>
      </c>
    </row>
    <row r="109" spans="1:6" s="878" customFormat="1" ht="45">
      <c r="A109" s="882">
        <v>49</v>
      </c>
      <c r="B109" s="882" t="s">
        <v>718</v>
      </c>
      <c r="C109" s="882" t="s">
        <v>719</v>
      </c>
      <c r="D109" s="818" t="s">
        <v>720</v>
      </c>
      <c r="E109" s="895">
        <v>0.2</v>
      </c>
      <c r="F109" s="882">
        <v>30</v>
      </c>
    </row>
    <row r="110" spans="1:6" s="878" customFormat="1" ht="45">
      <c r="A110" s="882">
        <v>50</v>
      </c>
      <c r="B110" s="882" t="s">
        <v>721</v>
      </c>
      <c r="C110" s="882" t="s">
        <v>722</v>
      </c>
      <c r="D110" s="818" t="s">
        <v>723</v>
      </c>
      <c r="E110" s="895">
        <v>0.2</v>
      </c>
      <c r="F110" s="882">
        <v>30</v>
      </c>
    </row>
    <row r="111" spans="1:6" s="878" customFormat="1" ht="45">
      <c r="A111" s="882">
        <v>51</v>
      </c>
      <c r="B111" s="3592" t="s">
        <v>724</v>
      </c>
      <c r="C111" s="882" t="s">
        <v>725</v>
      </c>
      <c r="D111" s="818" t="s">
        <v>726</v>
      </c>
      <c r="E111" s="895">
        <v>0.2</v>
      </c>
      <c r="F111" s="882">
        <v>30</v>
      </c>
    </row>
    <row r="112" spans="1:6" s="878" customFormat="1" ht="30">
      <c r="A112" s="882">
        <v>52</v>
      </c>
      <c r="B112" s="3592"/>
      <c r="C112" s="882" t="s">
        <v>727</v>
      </c>
      <c r="D112" s="818" t="s">
        <v>728</v>
      </c>
      <c r="E112" s="895">
        <v>0.2</v>
      </c>
      <c r="F112" s="882">
        <v>30</v>
      </c>
    </row>
    <row r="113" spans="1:6" s="878" customFormat="1" ht="30">
      <c r="A113" s="882">
        <v>53</v>
      </c>
      <c r="B113" s="3592"/>
      <c r="C113" s="882" t="s">
        <v>729</v>
      </c>
      <c r="D113" s="818" t="s">
        <v>730</v>
      </c>
      <c r="E113" s="895">
        <v>0.2</v>
      </c>
      <c r="F113" s="882">
        <v>30</v>
      </c>
    </row>
    <row r="114" spans="1:6" ht="45">
      <c r="A114" s="882">
        <v>54</v>
      </c>
      <c r="B114" s="882" t="s">
        <v>731</v>
      </c>
      <c r="C114" s="882" t="s">
        <v>732</v>
      </c>
      <c r="D114" s="818" t="s">
        <v>733</v>
      </c>
      <c r="E114" s="895">
        <v>0.2</v>
      </c>
      <c r="F114" s="882">
        <v>30</v>
      </c>
    </row>
    <row r="115" spans="1:6" ht="30">
      <c r="A115" s="882">
        <v>55</v>
      </c>
      <c r="B115" s="882" t="s">
        <v>734</v>
      </c>
      <c r="C115" s="882" t="s">
        <v>735</v>
      </c>
      <c r="D115" s="818" t="s">
        <v>736</v>
      </c>
      <c r="E115" s="895">
        <v>0.2</v>
      </c>
      <c r="F115" s="882">
        <v>30</v>
      </c>
    </row>
    <row r="116" spans="1:6" ht="30">
      <c r="A116" s="882">
        <v>56</v>
      </c>
      <c r="B116" s="3592" t="s">
        <v>737</v>
      </c>
      <c r="C116" s="882" t="s">
        <v>738</v>
      </c>
      <c r="D116" s="818" t="s">
        <v>739</v>
      </c>
      <c r="E116" s="895">
        <v>0.2</v>
      </c>
      <c r="F116" s="882">
        <v>30</v>
      </c>
    </row>
    <row r="117" spans="1:6" ht="45">
      <c r="A117" s="882">
        <v>57</v>
      </c>
      <c r="B117" s="3592"/>
      <c r="C117" s="882" t="s">
        <v>740</v>
      </c>
      <c r="D117" s="818" t="s">
        <v>741</v>
      </c>
      <c r="E117" s="895">
        <v>0.2</v>
      </c>
      <c r="F117" s="882">
        <v>30</v>
      </c>
    </row>
    <row r="118" spans="1:6" ht="45">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08"/>
  <sheetViews>
    <sheetView workbookViewId="0">
      <selection activeCell="V30" sqref="V30"/>
    </sheetView>
  </sheetViews>
  <sheetFormatPr baseColWidth="10"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ht="15">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ht="15">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ht="15">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E13"/>
  <sheetViews>
    <sheetView workbookViewId="0">
      <selection activeCell="R43" sqref="R43:W43"/>
    </sheetView>
  </sheetViews>
  <sheetFormatPr baseColWidth="10" defaultColWidth="9" defaultRowHeight="14"/>
  <cols>
    <col min="1" max="1" width="23.33203125" style="1943" customWidth="1"/>
    <col min="2" max="2" width="12.5" style="1943" customWidth="1"/>
    <col min="3" max="3" width="12.1640625" style="1943" customWidth="1"/>
    <col min="4" max="4" width="14.1640625" style="1943" customWidth="1"/>
    <col min="5" max="5" width="12.5" style="1943" customWidth="1"/>
    <col min="6" max="16384" width="9" style="1943"/>
  </cols>
  <sheetData>
    <row r="1" spans="1:5" ht="20">
      <c r="A1" s="2561" t="s">
        <v>2997</v>
      </c>
    </row>
    <row r="2" spans="1:5" ht="16">
      <c r="A2" s="2902" t="s">
        <v>2989</v>
      </c>
      <c r="B2" s="2903" t="e">
        <f ca="1">SUMIF(B6:B13,"&lt;&gt;#ref!",B6:B13)</f>
        <v>#DIV/0!</v>
      </c>
      <c r="C2" s="2902" t="s">
        <v>2990</v>
      </c>
      <c r="D2" s="2902" t="s">
        <v>2991</v>
      </c>
      <c r="E2" s="2903">
        <f ca="1">SUMIF(E6:E13,"&lt;&gt;#ref!",E6:E13)</f>
        <v>0</v>
      </c>
    </row>
    <row r="3" spans="1:5" ht="16">
      <c r="A3" s="2902" t="s">
        <v>2992</v>
      </c>
      <c r="B3" s="2903" t="e">
        <f ca="1">ROUND(B2*10000/E2,0)</f>
        <v>#DIV/0!</v>
      </c>
      <c r="C3" s="2902" t="s">
        <v>2998</v>
      </c>
      <c r="D3" s="2904"/>
      <c r="E3" s="2904"/>
    </row>
    <row r="4" spans="1:5" ht="16">
      <c r="A4" s="2905"/>
      <c r="B4" s="2904"/>
      <c r="C4" s="2904"/>
      <c r="D4" s="2904"/>
      <c r="E4" s="2904"/>
    </row>
    <row r="5" spans="1:5" ht="32">
      <c r="A5" s="2906" t="s">
        <v>2993</v>
      </c>
      <c r="B5" s="2902" t="s">
        <v>2994</v>
      </c>
      <c r="C5" s="2903"/>
      <c r="D5" s="2904"/>
      <c r="E5" s="2902" t="s">
        <v>2995</v>
      </c>
    </row>
    <row r="6" spans="1:5" ht="16">
      <c r="A6" s="2907" t="s">
        <v>2996</v>
      </c>
      <c r="B6" s="2903" t="e">
        <f ca="1">SUMIF(INDIRECT("'"&amp;A6&amp;"'"&amp;"!A:A"),"总价",INDIRECT("'"&amp;A6&amp;"'"&amp;"!B:B"))</f>
        <v>#DIV/0!</v>
      </c>
      <c r="C6" s="2902" t="s">
        <v>2990</v>
      </c>
      <c r="D6" s="2904"/>
      <c r="E6" s="2575">
        <f ca="1">SUMIF(INDIRECT("'"&amp;A6&amp;"'"&amp;"!C:C"),"建筑面积",INDIRECT("'"&amp;A6&amp;"'"&amp;"!D:D"))</f>
        <v>0</v>
      </c>
    </row>
    <row r="7" spans="1:5" ht="16">
      <c r="A7" s="2907"/>
      <c r="B7" s="2903" t="e">
        <f ca="1">SUMIF(INDIRECT("'"&amp;A7&amp;"'"&amp;"!A:A"),"总价",INDIRECT("'"&amp;A7&amp;"'"&amp;"!B:B"))</f>
        <v>#REF!</v>
      </c>
      <c r="C7" s="2902" t="s">
        <v>2990</v>
      </c>
      <c r="D7" s="2904"/>
      <c r="E7" s="2575" t="e">
        <f t="shared" ref="E7:E13" ca="1" si="0">SUMIF(INDIRECT("'"&amp;A7&amp;"'"&amp;"!C:C"),"建筑面积",INDIRECT("'"&amp;A7&amp;"'"&amp;"!D:D"))</f>
        <v>#REF!</v>
      </c>
    </row>
    <row r="8" spans="1:5" ht="16">
      <c r="A8" s="2907"/>
      <c r="B8" s="2903" t="e">
        <f t="shared" ref="B8:B13" ca="1" si="1">SUMIF(INDIRECT("'"&amp;A8&amp;"'"&amp;"!A:A"),"总价",INDIRECT("'"&amp;A8&amp;"'"&amp;"!B:B"))</f>
        <v>#REF!</v>
      </c>
      <c r="C8" s="2902" t="s">
        <v>2990</v>
      </c>
      <c r="D8" s="2904"/>
      <c r="E8" s="2575" t="e">
        <f t="shared" ca="1" si="0"/>
        <v>#REF!</v>
      </c>
    </row>
    <row r="9" spans="1:5" ht="16">
      <c r="A9" s="2907"/>
      <c r="B9" s="2903" t="e">
        <f t="shared" ca="1" si="1"/>
        <v>#REF!</v>
      </c>
      <c r="C9" s="2902" t="s">
        <v>2990</v>
      </c>
      <c r="D9" s="2904"/>
      <c r="E9" s="2575" t="e">
        <f t="shared" ca="1" si="0"/>
        <v>#REF!</v>
      </c>
    </row>
    <row r="10" spans="1:5" ht="16">
      <c r="A10" s="2907"/>
      <c r="B10" s="2903" t="e">
        <f t="shared" ca="1" si="1"/>
        <v>#REF!</v>
      </c>
      <c r="C10" s="2902" t="s">
        <v>2990</v>
      </c>
      <c r="D10" s="2904"/>
      <c r="E10" s="2575" t="e">
        <f t="shared" ca="1" si="0"/>
        <v>#REF!</v>
      </c>
    </row>
    <row r="11" spans="1:5" ht="16">
      <c r="A11" s="2907"/>
      <c r="B11" s="2903" t="e">
        <f t="shared" ca="1" si="1"/>
        <v>#REF!</v>
      </c>
      <c r="C11" s="2902" t="s">
        <v>2990</v>
      </c>
      <c r="D11" s="2904"/>
      <c r="E11" s="2575" t="e">
        <f t="shared" ca="1" si="0"/>
        <v>#REF!</v>
      </c>
    </row>
    <row r="12" spans="1:5" ht="16">
      <c r="A12" s="2907"/>
      <c r="B12" s="2903" t="e">
        <f t="shared" ca="1" si="1"/>
        <v>#REF!</v>
      </c>
      <c r="C12" s="2902" t="s">
        <v>2990</v>
      </c>
      <c r="D12" s="2904"/>
      <c r="E12" s="2575" t="e">
        <f t="shared" ca="1" si="0"/>
        <v>#REF!</v>
      </c>
    </row>
    <row r="13" spans="1:5" ht="16">
      <c r="A13" s="2907"/>
      <c r="B13" s="2903" t="e">
        <f t="shared" ca="1" si="1"/>
        <v>#REF!</v>
      </c>
      <c r="C13" s="2902" t="s">
        <v>2990</v>
      </c>
      <c r="D13" s="2904"/>
      <c r="E13" s="2575" t="e">
        <f t="shared" ca="1" si="0"/>
        <v>#REF!</v>
      </c>
    </row>
  </sheetData>
  <sheetProtection password="C66D" sheet="1" objects="1" scenarios="1" formatCells="0"/>
  <phoneticPr fontId="142"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943" customWidth="1"/>
    <col min="2" max="9" width="12.1640625" style="1943" customWidth="1"/>
    <col min="10" max="16384" width="9" style="1943"/>
  </cols>
  <sheetData>
    <row r="1" spans="1:9" ht="19" thickBot="1">
      <c r="A1" s="3164" t="str">
        <f>IF(项目基本情况!B9="房地产市场价值","估价结果一览表","结果表-2")</f>
        <v>估价结果一览表</v>
      </c>
      <c r="B1" s="3164"/>
      <c r="C1" s="3164"/>
      <c r="D1" s="3164"/>
      <c r="E1" s="3164"/>
      <c r="F1" s="3164"/>
      <c r="G1" s="3164"/>
      <c r="H1" s="3164"/>
      <c r="I1" s="3164"/>
    </row>
    <row r="2" spans="1:9" ht="30" customHeight="1" thickTop="1">
      <c r="A2" s="3165" t="s">
        <v>1635</v>
      </c>
      <c r="B2" s="3165" t="s">
        <v>1636</v>
      </c>
      <c r="C2" s="3165" t="s">
        <v>1637</v>
      </c>
      <c r="D2" s="3165" t="str">
        <f>结果表!D116</f>
        <v>出让国有建设用地使用权价值</v>
      </c>
      <c r="E2" s="3165"/>
      <c r="F2" s="3165" t="str">
        <f>结果表!F116</f>
        <v>在建建筑物价值</v>
      </c>
      <c r="G2" s="3165"/>
      <c r="H2" s="3165" t="str">
        <f>IF(项目基本情况!B9="房地产市场价值","房地产市场价值","房地产价值")</f>
        <v>房地产市场价值</v>
      </c>
      <c r="I2" s="3165"/>
    </row>
    <row r="3" spans="1:9" ht="17">
      <c r="A3" s="3166"/>
      <c r="B3" s="3166"/>
      <c r="C3" s="3166"/>
      <c r="D3" s="1044" t="s">
        <v>1632</v>
      </c>
      <c r="E3" s="1044" t="s">
        <v>1638</v>
      </c>
      <c r="F3" s="1044" t="s">
        <v>1632</v>
      </c>
      <c r="G3" s="1044" t="s">
        <v>1633</v>
      </c>
      <c r="H3" s="1044" t="s">
        <v>1632</v>
      </c>
      <c r="I3" s="1044" t="s">
        <v>1633</v>
      </c>
    </row>
    <row r="4" spans="1:9" ht="17">
      <c r="A4" s="1971" t="str">
        <f>项目基本情况!S2</f>
        <v>出让国有建设用地使用权</v>
      </c>
      <c r="B4" s="1044">
        <f>项目基本情况!C17</f>
        <v>993873.23100000003</v>
      </c>
      <c r="C4" s="1044">
        <f>项目基本情况!C18</f>
        <v>535778.54</v>
      </c>
      <c r="D4" s="1044">
        <f ca="1">结果表!D118</f>
        <v>315663</v>
      </c>
      <c r="E4" s="1044">
        <f ca="1">结果表!E118</f>
        <v>3176</v>
      </c>
      <c r="F4" s="1044">
        <f ca="1">结果表!F118</f>
        <v>0</v>
      </c>
      <c r="G4" s="1044">
        <f ca="1">结果表!G118</f>
        <v>0</v>
      </c>
      <c r="H4" s="1044">
        <f ca="1">结果表!H118</f>
        <v>315663</v>
      </c>
      <c r="I4" s="1044">
        <f ca="1">结果表!I118</f>
        <v>3176</v>
      </c>
    </row>
    <row r="5" spans="1:9" ht="30" customHeight="1">
      <c r="A5" s="3166" t="s">
        <v>1634</v>
      </c>
      <c r="B5" s="3166"/>
      <c r="C5" s="3166"/>
      <c r="D5" s="3167" t="str">
        <f ca="1">结果表!D119</f>
        <v>叁拾壹亿伍仟陆佰陆拾叁万元整</v>
      </c>
      <c r="E5" s="3167"/>
      <c r="F5" s="3167" t="str">
        <f ca="1">结果表!F119</f>
        <v>零元整</v>
      </c>
      <c r="G5" s="3167"/>
      <c r="H5" s="3167" t="str">
        <f ca="1">结果表!H119</f>
        <v>叁拾壹亿伍仟陆佰陆拾叁万元整</v>
      </c>
      <c r="I5" s="3167"/>
    </row>
    <row r="6" spans="1:9" ht="16">
      <c r="A6" s="3168" t="str">
        <f>结果表!A120</f>
        <v/>
      </c>
      <c r="B6" s="3168"/>
      <c r="C6" s="3168"/>
      <c r="D6" s="3168">
        <f>结果表!D120</f>
        <v>0</v>
      </c>
      <c r="E6" s="3168"/>
      <c r="F6" s="3168"/>
      <c r="G6" s="3168"/>
      <c r="H6" s="3168"/>
      <c r="I6" s="3168"/>
    </row>
    <row r="7" spans="1:9" ht="16">
      <c r="A7" s="3166" t="s">
        <v>1634</v>
      </c>
      <c r="B7" s="3166"/>
      <c r="C7" s="3166"/>
      <c r="D7" s="3169" t="str">
        <f>结果表!D121</f>
        <v>零元整</v>
      </c>
      <c r="E7" s="3170"/>
      <c r="F7" s="3170"/>
      <c r="G7" s="3170"/>
      <c r="H7" s="3170"/>
      <c r="I7" s="3171"/>
    </row>
    <row r="8" spans="1:9" ht="16">
      <c r="A8" s="3168" t="str">
        <f>结果表!A122</f>
        <v/>
      </c>
      <c r="B8" s="3168"/>
      <c r="C8" s="3168"/>
      <c r="D8" s="3168">
        <f ca="1">结果表!D122</f>
        <v>315663</v>
      </c>
      <c r="E8" s="3168"/>
      <c r="F8" s="3168"/>
      <c r="G8" s="3168"/>
      <c r="H8" s="3168"/>
      <c r="I8" s="3168"/>
    </row>
    <row r="9" spans="1:9" ht="16">
      <c r="A9" s="3166" t="s">
        <v>1634</v>
      </c>
      <c r="B9" s="3166"/>
      <c r="C9" s="3166"/>
      <c r="D9" s="3167" t="str">
        <f ca="1">结果表!D123</f>
        <v>叁拾壹亿伍仟陆佰陆拾叁万元整</v>
      </c>
      <c r="E9" s="3167"/>
      <c r="F9" s="3167"/>
      <c r="G9" s="3167"/>
      <c r="H9" s="3167"/>
      <c r="I9" s="3167"/>
    </row>
    <row r="10" spans="1:9" ht="16">
      <c r="A10" s="3168" t="str">
        <f>结果表!A124</f>
        <v/>
      </c>
      <c r="B10" s="3168"/>
      <c r="C10" s="3168"/>
      <c r="D10" s="3168">
        <f ca="1">结果表!D124</f>
        <v>315663</v>
      </c>
      <c r="E10" s="3168"/>
      <c r="F10" s="3168"/>
      <c r="G10" s="3168"/>
      <c r="H10" s="3168"/>
      <c r="I10" s="3168"/>
    </row>
    <row r="11" spans="1:9" ht="16">
      <c r="A11" s="3166" t="s">
        <v>1634</v>
      </c>
      <c r="B11" s="3166"/>
      <c r="C11" s="3166"/>
      <c r="D11" s="3167" t="str">
        <f ca="1">结果表!D125</f>
        <v>叁拾壹亿伍仟陆佰陆拾叁万元整</v>
      </c>
      <c r="E11" s="3167"/>
      <c r="F11" s="3167"/>
      <c r="G11" s="3167"/>
      <c r="H11" s="3167"/>
      <c r="I11" s="3167"/>
    </row>
    <row r="12" spans="1:9" ht="16">
      <c r="A12" s="3168" t="str">
        <f>结果表!A126</f>
        <v/>
      </c>
      <c r="B12" s="3168"/>
      <c r="C12" s="3168"/>
      <c r="D12" s="3168" t="str">
        <f>结果表!D126</f>
        <v>——</v>
      </c>
      <c r="E12" s="3168"/>
      <c r="F12" s="3168"/>
      <c r="G12" s="3168"/>
      <c r="H12" s="3168"/>
      <c r="I12" s="3168"/>
    </row>
    <row r="13" spans="1:9" ht="17" thickBot="1">
      <c r="A13" s="3172" t="s">
        <v>1634</v>
      </c>
      <c r="B13" s="3172"/>
      <c r="C13" s="3172"/>
      <c r="D13" s="3173" t="e">
        <f>结果表!D127</f>
        <v>#VALUE!</v>
      </c>
      <c r="E13" s="3173"/>
      <c r="F13" s="3173"/>
      <c r="G13" s="3173"/>
      <c r="H13" s="3173"/>
      <c r="I13" s="3173"/>
    </row>
    <row r="14" spans="1:9" ht="15" thickTop="1">
      <c r="A14" s="3174" t="s">
        <v>1639</v>
      </c>
      <c r="B14" s="3174"/>
      <c r="C14" s="3174"/>
      <c r="D14" s="3174"/>
      <c r="E14" s="3174"/>
      <c r="F14" s="3174"/>
      <c r="G14" s="3174"/>
      <c r="H14" s="3174"/>
      <c r="I14" s="3174"/>
    </row>
    <row r="16" spans="1:9" ht="18">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H112"/>
  <sheetViews>
    <sheetView zoomScale="80" zoomScaleNormal="80" workbookViewId="0">
      <selection activeCell="R43" sqref="R43:W43"/>
    </sheetView>
  </sheetViews>
  <sheetFormatPr baseColWidth="10" defaultColWidth="9" defaultRowHeight="13"/>
  <cols>
    <col min="1" max="1" width="9" style="1471"/>
    <col min="2" max="6" width="9" style="1471" customWidth="1"/>
    <col min="7" max="7" width="9" style="1486"/>
    <col min="8" max="8" width="9" style="1471"/>
    <col min="9" max="12" width="9" style="1471" customWidth="1"/>
    <col min="13" max="13" width="2.1640625" style="1471" customWidth="1"/>
    <col min="14" max="14" width="9" style="1486" customWidth="1"/>
    <col min="15" max="17" width="9" style="1471" customWidth="1"/>
    <col min="18" max="18" width="2.33203125" style="1471" customWidth="1"/>
    <col min="19" max="19" width="7.1640625" style="1486" customWidth="1"/>
    <col min="20" max="22" width="7.1640625" style="1471" customWidth="1"/>
    <col min="23" max="23" width="24.1640625" style="1471" customWidth="1"/>
    <col min="24" max="25" width="9" style="1471"/>
    <col min="26" max="27" width="11.6640625" style="1471" customWidth="1"/>
    <col min="28" max="28" width="9" style="1471"/>
    <col min="29" max="29" width="2" style="1471" customWidth="1"/>
    <col min="30" max="16384" width="9" style="1471"/>
  </cols>
  <sheetData>
    <row r="1" spans="1:34" s="1445" customFormat="1" ht="14">
      <c r="B1" s="3598" t="s">
        <v>1145</v>
      </c>
      <c r="C1" s="3598"/>
      <c r="D1" s="3598"/>
      <c r="E1" s="3598"/>
      <c r="F1" s="3598"/>
      <c r="G1" s="3594" t="s">
        <v>1146</v>
      </c>
      <c r="H1" s="3594"/>
      <c r="I1" s="3594"/>
      <c r="J1" s="3594"/>
      <c r="K1" s="3594"/>
      <c r="L1" s="3594"/>
      <c r="N1" s="3594" t="s">
        <v>1147</v>
      </c>
      <c r="O1" s="3594"/>
      <c r="P1" s="3594"/>
      <c r="Q1" s="3594"/>
      <c r="R1" s="1446"/>
      <c r="S1" s="3594" t="s">
        <v>1148</v>
      </c>
      <c r="T1" s="3594"/>
      <c r="U1" s="3594"/>
      <c r="V1" s="3594"/>
      <c r="X1" s="3593" t="s">
        <v>1149</v>
      </c>
      <c r="Y1" s="3594"/>
      <c r="Z1" s="3594"/>
      <c r="AA1" s="3594"/>
      <c r="AB1" s="3594"/>
      <c r="AD1" s="3593" t="s">
        <v>1150</v>
      </c>
      <c r="AE1" s="3594"/>
      <c r="AF1" s="3594"/>
      <c r="AG1" s="3594"/>
      <c r="AH1" s="3594"/>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
      <c r="A3" s="2927" t="s">
        <v>3032</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4">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3033</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ht="14">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5" thickBot="1">
      <c r="A7" s="1461" t="s">
        <v>3046</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ht="14">
      <c r="A8" s="1461" t="s">
        <v>3044</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5" thickBot="1">
      <c r="A9" s="1461" t="s">
        <v>3042</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ht="14">
      <c r="A10" s="1461" t="s">
        <v>3045</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59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5" customHeight="1">
      <c r="A11" s="1461" t="s">
        <v>3039</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59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5" customHeight="1">
      <c r="A12" s="1461" t="s">
        <v>3038</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59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3031</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60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ht="14">
      <c r="A14" s="1461" t="s">
        <v>3028</v>
      </c>
      <c r="B14" s="1469">
        <v>439</v>
      </c>
      <c r="C14" s="1469">
        <v>327</v>
      </c>
      <c r="D14" s="1469">
        <f>C14</f>
        <v>327</v>
      </c>
      <c r="E14" s="1469">
        <v>627</v>
      </c>
      <c r="F14" s="1470">
        <v>283</v>
      </c>
      <c r="G14" s="359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5" customHeight="1">
      <c r="A15" s="1461" t="s">
        <v>3029</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59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59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60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ht="14">
      <c r="A18" s="1461" t="s">
        <v>154</v>
      </c>
      <c r="B18" s="1469">
        <v>392</v>
      </c>
      <c r="C18" s="1469">
        <v>302</v>
      </c>
      <c r="D18" s="1469">
        <f>C18</f>
        <v>302</v>
      </c>
      <c r="E18" s="1469">
        <v>553</v>
      </c>
      <c r="F18" s="1470">
        <v>266</v>
      </c>
      <c r="G18" s="359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ht="1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59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ht="1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59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59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5" thickBot="1">
      <c r="A22" s="1461" t="s">
        <v>151</v>
      </c>
      <c r="B22" s="1469">
        <v>333</v>
      </c>
      <c r="C22" s="1469">
        <v>277</v>
      </c>
      <c r="D22" s="1469">
        <f t="shared" si="119"/>
        <v>277</v>
      </c>
      <c r="E22" s="1469">
        <v>459</v>
      </c>
      <c r="F22" s="1470">
        <v>249</v>
      </c>
      <c r="G22" s="359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ht="1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59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ht="1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59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ht="1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59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5" thickBot="1">
      <c r="A26" s="1461" t="s">
        <v>147</v>
      </c>
      <c r="B26" s="1490">
        <v>318</v>
      </c>
      <c r="C26" s="1490">
        <v>268</v>
      </c>
      <c r="D26" s="1490">
        <f t="shared" si="119"/>
        <v>268</v>
      </c>
      <c r="E26" s="1490">
        <v>437</v>
      </c>
      <c r="F26" s="1491">
        <v>237</v>
      </c>
      <c r="G26" s="359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ht="1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59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59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59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5" thickBot="1">
      <c r="A30" s="1461" t="s">
        <v>1158</v>
      </c>
      <c r="B30" s="1469">
        <v>299</v>
      </c>
      <c r="C30" s="1469">
        <v>252</v>
      </c>
      <c r="D30" s="1469">
        <f t="shared" si="119"/>
        <v>252</v>
      </c>
      <c r="E30" s="1469">
        <v>409</v>
      </c>
      <c r="F30" s="1470">
        <v>227</v>
      </c>
      <c r="G30" s="360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ht="1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60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ht="1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60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ht="14">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60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5" thickBot="1">
      <c r="A34" s="1461" t="s">
        <v>1162</v>
      </c>
      <c r="B34" s="1511">
        <v>278</v>
      </c>
      <c r="C34" s="1511">
        <v>234</v>
      </c>
      <c r="D34" s="1511">
        <f t="shared" si="119"/>
        <v>234</v>
      </c>
      <c r="E34" s="1511">
        <v>379</v>
      </c>
      <c r="F34" s="1512">
        <v>220</v>
      </c>
      <c r="G34" s="359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ht="14">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59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ht="14">
      <c r="A36" s="1461" t="s">
        <v>1164</v>
      </c>
      <c r="B36" s="1477">
        <f>B35/(1+N35)</f>
        <v>275.24529281292263</v>
      </c>
      <c r="C36" s="1477">
        <f>C35/(1+O35)</f>
        <v>231.74747938962707</v>
      </c>
      <c r="D36" s="1477">
        <f t="shared" si="119"/>
        <v>231.74747938962707</v>
      </c>
      <c r="E36" s="1477">
        <f t="shared" si="130"/>
        <v>375.35938184826603</v>
      </c>
      <c r="F36" s="1477">
        <f t="shared" si="130"/>
        <v>216.78033510692495</v>
      </c>
      <c r="G36" s="359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5" thickBot="1">
      <c r="A37" s="1461" t="s">
        <v>1165</v>
      </c>
      <c r="B37" s="1477">
        <f>B36/(1+N36)</f>
        <v>275.19025476197027</v>
      </c>
      <c r="C37" s="1513">
        <v>232</v>
      </c>
      <c r="D37" s="1513">
        <f t="shared" si="119"/>
        <v>232</v>
      </c>
      <c r="E37" s="1477">
        <f t="shared" si="130"/>
        <v>375.65990977608692</v>
      </c>
      <c r="F37" s="1477">
        <f t="shared" si="130"/>
        <v>214.12518283971252</v>
      </c>
      <c r="G37" s="359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5" thickBot="1">
      <c r="A38" s="1461" t="s">
        <v>1166</v>
      </c>
      <c r="B38" s="1469">
        <v>275</v>
      </c>
      <c r="C38" s="1469">
        <v>232</v>
      </c>
      <c r="D38" s="1469">
        <f t="shared" si="119"/>
        <v>232</v>
      </c>
      <c r="E38" s="1469">
        <v>376</v>
      </c>
      <c r="F38" s="1470">
        <v>213</v>
      </c>
      <c r="G38" s="359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ht="14">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59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ht="14">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59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59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5" thickBot="1">
      <c r="A42" s="1461" t="s">
        <v>1170</v>
      </c>
      <c r="B42" s="1469">
        <v>269</v>
      </c>
      <c r="C42" s="1469">
        <v>221</v>
      </c>
      <c r="D42" s="1469">
        <f t="shared" si="119"/>
        <v>221</v>
      </c>
      <c r="E42" s="1469">
        <v>373</v>
      </c>
      <c r="F42" s="1470">
        <v>196</v>
      </c>
      <c r="G42" s="359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ht="14">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59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ht="14">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59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59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5" thickBot="1">
      <c r="A46" s="1461" t="s">
        <v>1174</v>
      </c>
      <c r="B46" s="1469">
        <v>220</v>
      </c>
      <c r="C46" s="1469">
        <v>187</v>
      </c>
      <c r="D46" s="1469">
        <f t="shared" si="119"/>
        <v>187</v>
      </c>
      <c r="E46" s="1469">
        <v>301</v>
      </c>
      <c r="F46" s="1470">
        <v>168</v>
      </c>
      <c r="G46" s="359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ht="14">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59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ht="14">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59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ht="14">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59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5" thickBot="1">
      <c r="A50" s="1461" t="s">
        <v>1178</v>
      </c>
      <c r="B50" s="1511">
        <v>214</v>
      </c>
      <c r="C50" s="1511">
        <v>188</v>
      </c>
      <c r="D50" s="1511">
        <f t="shared" si="119"/>
        <v>188</v>
      </c>
      <c r="E50" s="1511">
        <v>289</v>
      </c>
      <c r="F50" s="1512">
        <v>166</v>
      </c>
      <c r="G50" s="359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ht="14">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59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ht="14">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59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59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5" thickBot="1">
      <c r="A54" s="1461" t="s">
        <v>1182</v>
      </c>
      <c r="B54" s="1469">
        <v>188</v>
      </c>
      <c r="C54" s="1469">
        <v>165</v>
      </c>
      <c r="D54" s="1469">
        <f t="shared" si="119"/>
        <v>165</v>
      </c>
      <c r="E54" s="1469">
        <v>254</v>
      </c>
      <c r="F54" s="1470">
        <v>148</v>
      </c>
      <c r="G54" s="359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ht="14">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59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ht="14">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59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ht="14">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59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5" thickBot="1">
      <c r="A58" s="1461" t="s">
        <v>1186</v>
      </c>
      <c r="B58" s="1490">
        <v>159</v>
      </c>
      <c r="C58" s="1490">
        <v>141</v>
      </c>
      <c r="D58" s="1490">
        <f t="shared" si="119"/>
        <v>141</v>
      </c>
      <c r="E58" s="1490">
        <v>195</v>
      </c>
      <c r="F58" s="1491">
        <v>122</v>
      </c>
      <c r="G58" s="359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ht="14">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59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ht="14">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59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ht="14">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59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5" thickBot="1">
      <c r="A62" s="1461" t="s">
        <v>1190</v>
      </c>
      <c r="B62" s="1490">
        <v>138</v>
      </c>
      <c r="C62" s="1490">
        <v>131</v>
      </c>
      <c r="D62" s="1490">
        <f t="shared" si="119"/>
        <v>131</v>
      </c>
      <c r="E62" s="1490">
        <v>155</v>
      </c>
      <c r="F62" s="1491">
        <v>114</v>
      </c>
      <c r="G62" s="359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ht="14">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59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ht="14">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59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ht="14">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59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5" thickBot="1">
      <c r="A66" s="1461" t="s">
        <v>1194</v>
      </c>
      <c r="B66" s="1511">
        <v>121</v>
      </c>
      <c r="C66" s="1511">
        <v>122</v>
      </c>
      <c r="D66" s="1511">
        <f t="shared" si="119"/>
        <v>122</v>
      </c>
      <c r="E66" s="1511">
        <v>124</v>
      </c>
      <c r="F66" s="1512">
        <v>107</v>
      </c>
      <c r="G66" s="359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ht="14">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59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ht="14">
      <c r="A68" s="1461" t="s">
        <v>1196</v>
      </c>
      <c r="B68" s="1477">
        <f t="shared" si="153"/>
        <v>116.99099099099099</v>
      </c>
      <c r="C68" s="1477">
        <f t="shared" si="153"/>
        <v>118.84848484848486</v>
      </c>
      <c r="D68" s="1477">
        <f t="shared" si="119"/>
        <v>118.84848484848486</v>
      </c>
      <c r="E68" s="1477">
        <f t="shared" si="154"/>
        <v>117.60960960960961</v>
      </c>
      <c r="F68" s="1477">
        <f t="shared" si="154"/>
        <v>104</v>
      </c>
      <c r="G68" s="359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59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5" thickBot="1">
      <c r="A70" s="1461" t="s">
        <v>1198</v>
      </c>
      <c r="B70" s="1532">
        <v>111</v>
      </c>
      <c r="C70" s="1532">
        <v>114</v>
      </c>
      <c r="D70" s="1532">
        <f t="shared" si="119"/>
        <v>114</v>
      </c>
      <c r="E70" s="1532">
        <v>108</v>
      </c>
      <c r="F70" s="1533">
        <v>104</v>
      </c>
      <c r="G70" s="3595">
        <v>2003</v>
      </c>
      <c r="H70" s="1522">
        <v>4</v>
      </c>
      <c r="I70" s="1534"/>
      <c r="J70" s="1534"/>
      <c r="K70" s="1534"/>
      <c r="L70" s="1534"/>
      <c r="N70" s="1535"/>
      <c r="O70" s="1534"/>
      <c r="P70" s="1534"/>
      <c r="Q70" s="1534"/>
      <c r="S70" s="1535"/>
      <c r="T70" s="1534"/>
      <c r="U70" s="1534"/>
      <c r="V70" s="1534"/>
      <c r="X70" s="1526"/>
      <c r="Y70" s="1526"/>
      <c r="Z70" s="1526"/>
    </row>
    <row r="71" spans="1:26" ht="14">
      <c r="A71" s="1461" t="s">
        <v>1199</v>
      </c>
      <c r="B71" s="1536">
        <f t="shared" ref="B71:C73" si="155">B72+(B$70-B$74)/4</f>
        <v>109.75</v>
      </c>
      <c r="C71" s="1536">
        <f t="shared" si="155"/>
        <v>112.25</v>
      </c>
      <c r="D71" s="1536">
        <f t="shared" si="119"/>
        <v>112.25</v>
      </c>
      <c r="E71" s="1536">
        <f t="shared" ref="E71:F73" si="156">E72+(E$70-E$74)/4</f>
        <v>107.25</v>
      </c>
      <c r="F71" s="1536">
        <f t="shared" si="156"/>
        <v>103.5</v>
      </c>
      <c r="G71" s="3596">
        <v>2003</v>
      </c>
      <c r="H71" s="1487">
        <v>3</v>
      </c>
      <c r="I71" s="1534"/>
      <c r="J71" s="1534"/>
      <c r="K71" s="1534"/>
      <c r="L71" s="1534"/>
      <c r="X71" s="1526"/>
      <c r="Y71" s="1526"/>
      <c r="Z71" s="1526"/>
    </row>
    <row r="72" spans="1:26" ht="14">
      <c r="A72" s="1461" t="s">
        <v>1200</v>
      </c>
      <c r="B72" s="1536">
        <f t="shared" si="155"/>
        <v>108.5</v>
      </c>
      <c r="C72" s="1536">
        <f t="shared" si="155"/>
        <v>110.5</v>
      </c>
      <c r="D72" s="1536">
        <f t="shared" si="119"/>
        <v>110.5</v>
      </c>
      <c r="E72" s="1536">
        <f t="shared" si="156"/>
        <v>106.5</v>
      </c>
      <c r="F72" s="1536">
        <f t="shared" si="156"/>
        <v>103</v>
      </c>
      <c r="G72" s="3596">
        <v>2003</v>
      </c>
      <c r="H72" s="1465">
        <v>2</v>
      </c>
      <c r="I72" s="1534"/>
      <c r="J72" s="1534"/>
      <c r="K72" s="1534"/>
      <c r="L72" s="1534"/>
      <c r="X72" s="1526"/>
      <c r="Y72" s="1526"/>
      <c r="Z72" s="1526"/>
    </row>
    <row r="73" spans="1:26" ht="15" thickBot="1">
      <c r="A73" s="1461" t="s">
        <v>1201</v>
      </c>
      <c r="B73" s="1536">
        <f t="shared" si="155"/>
        <v>107.25</v>
      </c>
      <c r="C73" s="1536">
        <f t="shared" si="155"/>
        <v>108.75</v>
      </c>
      <c r="D73" s="1536">
        <f t="shared" si="119"/>
        <v>108.75</v>
      </c>
      <c r="E73" s="1536">
        <f t="shared" si="156"/>
        <v>105.75</v>
      </c>
      <c r="F73" s="1536">
        <f t="shared" si="156"/>
        <v>102.5</v>
      </c>
      <c r="G73" s="3597">
        <v>2003</v>
      </c>
      <c r="H73" s="1537">
        <v>1</v>
      </c>
      <c r="I73" s="1534"/>
      <c r="J73" s="1534"/>
      <c r="K73" s="1534"/>
      <c r="L73" s="1534"/>
      <c r="S73" s="1472"/>
      <c r="T73" s="1473"/>
      <c r="U73" s="1473"/>
      <c r="X73" s="1526"/>
      <c r="Y73" s="1526"/>
      <c r="Z73" s="1526"/>
    </row>
    <row r="74" spans="1:26" ht="15" thickBot="1">
      <c r="A74" s="1461" t="s">
        <v>1202</v>
      </c>
      <c r="B74" s="1538">
        <v>106</v>
      </c>
      <c r="C74" s="1538">
        <v>107</v>
      </c>
      <c r="D74" s="1538">
        <f t="shared" si="119"/>
        <v>107</v>
      </c>
      <c r="E74" s="1538">
        <v>105</v>
      </c>
      <c r="F74" s="1539">
        <v>102</v>
      </c>
      <c r="G74" s="3595">
        <v>2002</v>
      </c>
      <c r="H74" s="1482">
        <v>4</v>
      </c>
      <c r="I74" s="1534"/>
      <c r="J74" s="1534"/>
      <c r="K74" s="1534"/>
      <c r="L74" s="1534"/>
      <c r="N74" s="1535"/>
      <c r="O74" s="1534"/>
      <c r="P74" s="1534"/>
      <c r="Q74" s="1534"/>
      <c r="S74" s="1535"/>
      <c r="T74" s="1534"/>
      <c r="U74" s="1534"/>
      <c r="V74" s="1534"/>
      <c r="X74" s="1526"/>
      <c r="Y74" s="1526"/>
      <c r="Z74" s="1526"/>
    </row>
    <row r="75" spans="1:26" ht="14">
      <c r="A75" s="1461" t="s">
        <v>1203</v>
      </c>
      <c r="B75" s="1536">
        <f t="shared" ref="B75:C77" si="157">B76+(B$74-B$78)/4</f>
        <v>105</v>
      </c>
      <c r="C75" s="1536">
        <f t="shared" si="157"/>
        <v>106</v>
      </c>
      <c r="D75" s="1536">
        <f t="shared" si="119"/>
        <v>106</v>
      </c>
      <c r="E75" s="1536">
        <f t="shared" ref="E75:F77" si="158">E76+(E$74-E$78)/4</f>
        <v>104.5</v>
      </c>
      <c r="F75" s="1536">
        <f t="shared" si="158"/>
        <v>101.5</v>
      </c>
      <c r="G75" s="3596">
        <v>2002</v>
      </c>
      <c r="H75" s="1487">
        <v>3</v>
      </c>
      <c r="I75" s="1534"/>
      <c r="J75" s="1534"/>
      <c r="K75" s="1534"/>
      <c r="L75" s="1534"/>
      <c r="X75" s="1526"/>
      <c r="Y75" s="1526"/>
      <c r="Z75" s="1526"/>
    </row>
    <row r="76" spans="1:26" ht="14">
      <c r="A76" s="1461" t="s">
        <v>1204</v>
      </c>
      <c r="B76" s="1536">
        <f t="shared" si="157"/>
        <v>104</v>
      </c>
      <c r="C76" s="1536">
        <f t="shared" si="157"/>
        <v>105</v>
      </c>
      <c r="D76" s="1536">
        <f t="shared" si="119"/>
        <v>105</v>
      </c>
      <c r="E76" s="1536">
        <f t="shared" si="158"/>
        <v>104</v>
      </c>
      <c r="F76" s="1536">
        <f t="shared" si="158"/>
        <v>101</v>
      </c>
      <c r="G76" s="3596">
        <v>2002</v>
      </c>
      <c r="H76" s="1465">
        <v>2</v>
      </c>
      <c r="I76" s="1534"/>
      <c r="J76" s="1534"/>
      <c r="K76" s="1534"/>
      <c r="L76" s="1534"/>
      <c r="X76" s="1526"/>
      <c r="Y76" s="1526"/>
      <c r="Z76" s="1526"/>
    </row>
    <row r="77" spans="1:26" s="1498" customFormat="1" ht="15" thickBot="1">
      <c r="A77" s="1494" t="s">
        <v>1205</v>
      </c>
      <c r="B77" s="1540">
        <f t="shared" si="157"/>
        <v>103</v>
      </c>
      <c r="C77" s="1540">
        <f t="shared" si="157"/>
        <v>104</v>
      </c>
      <c r="D77" s="1540">
        <f t="shared" si="119"/>
        <v>104</v>
      </c>
      <c r="E77" s="1540">
        <f t="shared" si="158"/>
        <v>103.5</v>
      </c>
      <c r="F77" s="1540">
        <f t="shared" si="158"/>
        <v>100.5</v>
      </c>
      <c r="G77" s="3597">
        <v>2002</v>
      </c>
      <c r="H77" s="1541">
        <v>1</v>
      </c>
      <c r="I77" s="1542"/>
      <c r="J77" s="1542"/>
      <c r="K77" s="1542"/>
      <c r="L77" s="1542"/>
      <c r="N77" s="1543"/>
      <c r="S77" s="1543"/>
      <c r="X77" s="1544"/>
      <c r="Y77" s="1544"/>
      <c r="Z77" s="1544"/>
    </row>
    <row r="78" spans="1:26" ht="14"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4">
      <c r="A80" s="1548" t="s">
        <v>1206</v>
      </c>
      <c r="G80" s="1550"/>
      <c r="N80" s="1550"/>
      <c r="S80" s="1550"/>
    </row>
    <row r="81" spans="1:22" s="1549" customFormat="1" ht="14">
      <c r="A81" s="1549" t="s">
        <v>1207</v>
      </c>
      <c r="G81" s="1550"/>
      <c r="N81" s="1550"/>
      <c r="S81" s="1550"/>
    </row>
    <row r="82" spans="1:22" s="1549" customFormat="1" ht="14">
      <c r="A82" s="1549" t="s">
        <v>1208</v>
      </c>
      <c r="G82" s="1550"/>
      <c r="I82" s="1551"/>
      <c r="J82" s="1551"/>
      <c r="K82" s="1551"/>
      <c r="L82" s="1551"/>
      <c r="N82" s="1552"/>
      <c r="O82" s="1551"/>
      <c r="P82" s="1551"/>
      <c r="Q82" s="1551"/>
      <c r="S82" s="1552"/>
      <c r="T82" s="1551"/>
      <c r="U82" s="1551"/>
      <c r="V82" s="1551"/>
    </row>
    <row r="83" spans="1:22" s="1549" customFormat="1" ht="14">
      <c r="A83" s="1549" t="s">
        <v>1209</v>
      </c>
      <c r="G83" s="1550"/>
      <c r="N83" s="1550"/>
      <c r="S83" s="1550"/>
    </row>
    <row r="90" spans="1:22" ht="14" thickBot="1"/>
    <row r="91" spans="1:22" ht="15">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4"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605" t="s">
        <v>3000</v>
      </c>
      <c r="D1" s="3606"/>
      <c r="E1" s="3606"/>
      <c r="F1" s="3606"/>
      <c r="G1" s="3606"/>
      <c r="H1" s="3606"/>
      <c r="I1" s="3606"/>
      <c r="J1" s="3606"/>
      <c r="K1" s="3606"/>
      <c r="L1" s="3606"/>
      <c r="M1" s="3606"/>
      <c r="N1" s="3606"/>
      <c r="O1" s="3606"/>
      <c r="P1" s="3606"/>
      <c r="Q1" s="3606"/>
      <c r="R1" s="3606"/>
      <c r="S1" s="3607"/>
      <c r="T1" s="1204" t="s">
        <v>3001</v>
      </c>
    </row>
    <row r="2" spans="1:45" s="707" customFormat="1" ht="15">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4"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5">
      <c r="A5" s="1215"/>
      <c r="B5" s="1768" t="s">
        <v>3003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4"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5">
      <c r="A7" s="1215"/>
      <c r="B7" s="1769" t="s">
        <v>3004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4"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5">
      <c r="A9" s="1215"/>
      <c r="B9" s="1769" t="s">
        <v>3005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4"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5">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4"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5">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4"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5">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4"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5">
      <c r="A17" s="2908" t="s">
        <v>3009</v>
      </c>
      <c r="B17" s="2909"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4"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4">
      <c r="A19" s="138"/>
      <c r="B19" s="168"/>
      <c r="C19" s="168"/>
      <c r="D19" s="2910" t="s">
        <v>3011</v>
      </c>
      <c r="E19" s="1791"/>
      <c r="F19" s="1791"/>
      <c r="G19" s="1791"/>
      <c r="H19" s="1280"/>
      <c r="I19" s="168"/>
      <c r="J19" s="168"/>
      <c r="K19" s="168"/>
      <c r="L19" s="168"/>
      <c r="M19" s="168"/>
      <c r="N19" s="168"/>
      <c r="O19" s="168"/>
      <c r="P19" s="168"/>
      <c r="Q19" s="168"/>
      <c r="R19" s="788"/>
      <c r="S19" s="138"/>
    </row>
    <row r="20" spans="1:45" ht="17" thickBot="1">
      <c r="A20" s="715" t="s">
        <v>3012</v>
      </c>
      <c r="B20" s="338" t="e">
        <f ca="1">IF(D20="——",S22,S22-F20)</f>
        <v>#REF!</v>
      </c>
      <c r="C20" s="168"/>
      <c r="D20" s="2911" t="s">
        <v>3013</v>
      </c>
      <c r="E20" s="1792"/>
      <c r="F20" s="1204" t="e">
        <f ca="1">SUMIF(INDIRECT("'"&amp;H20&amp;"'"&amp;"!A:A"),"承租人权益价值",INDIRECT("'"&amp;H20&amp;"'"&amp;"!c:c"))</f>
        <v>#REF!</v>
      </c>
      <c r="G20" s="1204" t="s">
        <v>3014</v>
      </c>
      <c r="H20" s="2912"/>
      <c r="I20" s="168"/>
      <c r="J20" s="168"/>
      <c r="K20" s="168"/>
      <c r="L20" s="168"/>
      <c r="M20" s="168"/>
      <c r="N20" s="168"/>
      <c r="O20" s="168"/>
      <c r="P20" s="168"/>
      <c r="Q20" s="168"/>
      <c r="R20" s="788"/>
      <c r="S20" s="138"/>
    </row>
    <row r="21" spans="1:45" ht="16">
      <c r="A21" s="715" t="s">
        <v>3015</v>
      </c>
      <c r="B21" s="338">
        <f>R22</f>
        <v>10000</v>
      </c>
      <c r="C21" s="168"/>
      <c r="D21" s="168"/>
      <c r="E21" s="168"/>
      <c r="F21" s="168"/>
      <c r="G21" s="168"/>
      <c r="H21" s="168"/>
      <c r="I21" s="168"/>
      <c r="J21" s="168"/>
      <c r="K21" s="168"/>
      <c r="L21" s="168"/>
      <c r="M21" s="168"/>
      <c r="N21" s="168"/>
      <c r="O21" s="168"/>
      <c r="P21" s="168"/>
      <c r="Q21" s="168"/>
      <c r="R21" s="788"/>
      <c r="S21" s="138"/>
    </row>
    <row r="22" spans="1:45" ht="14">
      <c r="A22" s="361" t="s">
        <v>3016</v>
      </c>
      <c r="B22" s="24">
        <f>SUM(B24:B10000)</f>
        <v>100</v>
      </c>
      <c r="C22" s="3384" t="s">
        <v>33</v>
      </c>
      <c r="D22" s="3385"/>
      <c r="E22" s="3385"/>
      <c r="F22" s="3385"/>
      <c r="G22" s="3385"/>
      <c r="H22" s="3385"/>
      <c r="I22" s="3385"/>
      <c r="J22" s="3385"/>
      <c r="K22" s="3385"/>
      <c r="L22" s="3385"/>
      <c r="M22" s="3385"/>
      <c r="N22" s="3385"/>
      <c r="O22" s="3385"/>
      <c r="P22" s="3385"/>
      <c r="Q22" s="3604"/>
      <c r="R22" s="716">
        <f>ROUND(S22*10000/B22,0)</f>
        <v>10000</v>
      </c>
      <c r="S22" s="24">
        <f>SUM(S24:S10000)</f>
        <v>100</v>
      </c>
    </row>
    <row r="23" spans="1:45" s="12" customFormat="1" ht="30">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38504</v>
      </c>
      <c r="C2" s="2" t="s">
        <v>133</v>
      </c>
      <c r="D2" s="243"/>
      <c r="E2" s="243"/>
      <c r="F2" s="243"/>
      <c r="G2" s="243"/>
    </row>
    <row r="3" spans="1:7" s="244" customFormat="1" ht="18" customHeight="1" thickBot="1">
      <c r="A3" s="247" t="s">
        <v>85</v>
      </c>
      <c r="B3" s="248">
        <f ca="1">ROUND(B2*10000/'数据-汇总表'!E3,0)</f>
        <v>387</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4">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3320</v>
      </c>
      <c r="D9" s="1032">
        <f>'数据-汇总表'!E5</f>
        <v>510763.67099999991</v>
      </c>
      <c r="E9" s="269">
        <f>'数据-取费表'!B27</f>
        <v>65</v>
      </c>
      <c r="F9" s="265"/>
      <c r="G9" s="270"/>
    </row>
    <row r="10" spans="1:7" s="258" customFormat="1" ht="13.5" customHeight="1">
      <c r="A10" s="950" t="s">
        <v>801</v>
      </c>
      <c r="B10" s="268" t="s">
        <v>94</v>
      </c>
      <c r="C10" s="269">
        <f>ROUND(D10*E10/10000,0)</f>
        <v>3140</v>
      </c>
      <c r="D10" s="1032">
        <f>'数据-汇总表'!E6</f>
        <v>483109.56000000011</v>
      </c>
      <c r="E10" s="269">
        <f>'数据-取费表'!B28</f>
        <v>65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14908</v>
      </c>
      <c r="D19" s="1036">
        <f>'数据-汇总表'!E3</f>
        <v>993873.23100000003</v>
      </c>
      <c r="E19" s="255">
        <f>'数据-取费表'!B31</f>
        <v>150</v>
      </c>
      <c r="F19" s="275"/>
      <c r="G19" s="1" t="s">
        <v>1070</v>
      </c>
    </row>
    <row r="20" spans="1:7" s="258" customFormat="1" ht="13.5" customHeight="1">
      <c r="A20" s="948" t="s">
        <v>1053</v>
      </c>
      <c r="B20" s="254" t="s">
        <v>104</v>
      </c>
      <c r="C20" s="276">
        <f>ROUND((C5+C19)*F20,0)</f>
        <v>355</v>
      </c>
      <c r="D20" s="276"/>
      <c r="E20" s="276"/>
      <c r="F20" s="277">
        <f>'数据-取费表'!B37</f>
        <v>0.01</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0</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0</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8">
      <c r="A25" s="951" t="s">
        <v>793</v>
      </c>
      <c r="B25" s="259" t="s">
        <v>1054</v>
      </c>
      <c r="C25" s="1355">
        <f ca="1">ROUND(IF('数据-取费表'!B22&lt;=1,C20*F22*'数据-取费表'!B23/2,C20*(POWER((1+F22),'数据-取费表'!B23/2)-1)),0)</f>
        <v>0</v>
      </c>
      <c r="D25" s="282"/>
      <c r="E25" s="285"/>
      <c r="F25" s="283"/>
      <c r="G25" s="286" t="s">
        <v>110</v>
      </c>
    </row>
    <row r="26" spans="1:7" s="258" customFormat="1" ht="14">
      <c r="A26" s="951" t="s">
        <v>795</v>
      </c>
      <c r="B26" s="259" t="s">
        <v>1056</v>
      </c>
      <c r="C26" s="282">
        <f ca="1">ROUND(IF('数据-取费表'!B22&lt;=1,F21*F22*'数据-取费表'!B23/2,F21*(POWER((1+F22),'数据-取费表'!B23/2)-1)),4)</f>
        <v>0</v>
      </c>
      <c r="D26" s="282"/>
      <c r="E26" s="285"/>
      <c r="F26" s="283"/>
      <c r="G26" s="287"/>
    </row>
    <row r="27" spans="1:7" s="258" customFormat="1" ht="28">
      <c r="A27" s="948" t="s">
        <v>787</v>
      </c>
      <c r="B27" s="288" t="s">
        <v>112</v>
      </c>
      <c r="C27" s="289">
        <f>C28</f>
        <v>0</v>
      </c>
      <c r="D27" s="279">
        <f>C29</f>
        <v>0</v>
      </c>
      <c r="E27" s="280" t="s">
        <v>126</v>
      </c>
      <c r="F27" s="290">
        <f>'数据-取费表'!Q16</f>
        <v>0.18</v>
      </c>
      <c r="G27" s="291" t="s">
        <v>1065</v>
      </c>
    </row>
    <row r="28" spans="1:7" s="258" customFormat="1" ht="13.5" customHeight="1">
      <c r="A28" s="951" t="s">
        <v>794</v>
      </c>
      <c r="B28" s="292" t="s">
        <v>1058</v>
      </c>
      <c r="C28" s="293">
        <f>ROUND((C5+C19+C20)*F27*'数据-取费表'!B21/'数据-取费表'!B20,0)</f>
        <v>0</v>
      </c>
      <c r="D28" s="279"/>
      <c r="E28" s="280"/>
      <c r="F28" s="290"/>
      <c r="G28" s="291"/>
    </row>
    <row r="29" spans="1:7" s="258" customFormat="1" ht="13.5" customHeight="1">
      <c r="A29" s="951" t="s">
        <v>792</v>
      </c>
      <c r="B29" s="292" t="s">
        <v>1059</v>
      </c>
      <c r="C29" s="282">
        <f>ROUND(C21*F27*'数据-取费表'!B21/'数据-取费表'!B20,4)</f>
        <v>0</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38504</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1" t="s">
        <v>796</v>
      </c>
      <c r="B35" s="259" t="s">
        <v>60</v>
      </c>
      <c r="C35" s="264">
        <f>ROUND(C34*F35,0)</f>
        <v>0</v>
      </c>
      <c r="D35" s="264"/>
      <c r="E35" s="264"/>
      <c r="F35" s="303">
        <f>'数据-取费表'!B33</f>
        <v>0.03</v>
      </c>
      <c r="G35" s="263" t="s">
        <v>117</v>
      </c>
    </row>
    <row r="36" spans="1:7" ht="28">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0</v>
      </c>
      <c r="D37" s="261">
        <f>'数据-汇总表'!E3</f>
        <v>993873.23100000003</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0</v>
      </c>
      <c r="D41" s="279">
        <f ca="1">C44</f>
        <v>0</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0</v>
      </c>
      <c r="D42" s="282"/>
      <c r="E42" s="282"/>
      <c r="F42" s="283"/>
      <c r="G42" s="3469" t="s">
        <v>121</v>
      </c>
    </row>
    <row r="43" spans="1:7" ht="13.5" customHeight="1">
      <c r="A43" s="951" t="s">
        <v>792</v>
      </c>
      <c r="B43" s="259" t="s">
        <v>1060</v>
      </c>
      <c r="C43" s="282">
        <f ca="1">ROUND(IF('数据-取费表'!B22&lt;=1,C39*F22*'数据-取费表'!B21/2,C39*(POWER((1+F22),'数据-取费表'!B21/2)-1)),0)</f>
        <v>0</v>
      </c>
      <c r="D43" s="282"/>
      <c r="E43" s="282"/>
      <c r="F43" s="283"/>
      <c r="G43" s="3470"/>
    </row>
    <row r="44" spans="1:7" ht="13.5" customHeight="1">
      <c r="A44" s="951" t="s">
        <v>793</v>
      </c>
      <c r="B44" s="259" t="s">
        <v>1062</v>
      </c>
      <c r="C44" s="282">
        <f ca="1">ROUND(IF('数据-取费表'!B22&lt;=1,C40*F22*'数据-取费表'!B21/2,C40*(POWER((1+F22),'数据-取费表'!B21/2)-1)),4)</f>
        <v>0</v>
      </c>
      <c r="D44" s="282"/>
      <c r="E44" s="282"/>
      <c r="F44" s="283"/>
      <c r="G44" s="3471"/>
    </row>
    <row r="45" spans="1:7" s="258" customFormat="1" ht="13.5" customHeight="1">
      <c r="A45" s="948" t="s">
        <v>786</v>
      </c>
      <c r="B45" s="288" t="s">
        <v>112</v>
      </c>
      <c r="C45" s="289">
        <f>C46</f>
        <v>0</v>
      </c>
      <c r="D45" s="279">
        <f>C47</f>
        <v>2.7000000000000001E-3</v>
      </c>
      <c r="E45" s="280" t="s">
        <v>129</v>
      </c>
      <c r="F45" s="290"/>
      <c r="G45" s="291" t="s">
        <v>1068</v>
      </c>
    </row>
    <row r="46" spans="1:7" s="258" customFormat="1" ht="13.5" customHeight="1">
      <c r="A46" s="951" t="s">
        <v>794</v>
      </c>
      <c r="B46" s="292" t="s">
        <v>1061</v>
      </c>
      <c r="C46" s="293">
        <f>ROUND((C33+C39)*F27,0)</f>
        <v>0</v>
      </c>
      <c r="D46" s="307"/>
      <c r="E46" s="280"/>
      <c r="F46" s="290"/>
      <c r="G46" s="291"/>
    </row>
    <row r="47" spans="1:7" s="258" customFormat="1" ht="13.5" customHeight="1">
      <c r="A47" s="951" t="s">
        <v>792</v>
      </c>
      <c r="B47" s="292" t="s">
        <v>1063</v>
      </c>
      <c r="C47" s="282">
        <f>ROUND(C40*F27,4)</f>
        <v>2.7000000000000001E-3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0</v>
      </c>
      <c r="D49" s="276"/>
      <c r="E49" s="276"/>
      <c r="F49" s="308"/>
      <c r="G49" s="278" t="s">
        <v>1069</v>
      </c>
    </row>
    <row r="50" spans="1:7" s="302" customFormat="1" ht="28">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0</v>
      </c>
      <c r="D51" s="276"/>
      <c r="E51" s="276"/>
      <c r="F51" s="308"/>
      <c r="G51" s="278" t="s">
        <v>64</v>
      </c>
    </row>
    <row r="52" spans="1:7" s="252" customFormat="1" ht="17" thickBot="1">
      <c r="A52" s="309" t="s">
        <v>65</v>
      </c>
      <c r="B52" s="310"/>
      <c r="C52" s="311">
        <f ca="1">C31+C51</f>
        <v>38504</v>
      </c>
      <c r="D52" s="310"/>
      <c r="E52" s="310"/>
      <c r="F52" s="310"/>
      <c r="G52" s="312"/>
    </row>
    <row r="55" spans="1:7" ht="16">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S344"/>
  <sheetViews>
    <sheetView workbookViewId="0">
      <selection activeCell="G224" sqref="G224"/>
    </sheetView>
  </sheetViews>
  <sheetFormatPr baseColWidth="10" defaultColWidth="9" defaultRowHeight="14"/>
  <cols>
    <col min="1" max="1" width="12.6640625" style="855" customWidth="1"/>
    <col min="2" max="5" width="10.1640625" style="813" customWidth="1"/>
    <col min="6" max="6" width="9" style="813"/>
    <col min="7" max="8" width="9" style="828"/>
    <col min="9" max="16384" width="9" style="813"/>
  </cols>
  <sheetData>
    <row r="1" spans="1:19">
      <c r="A1" s="3608" t="s">
        <v>156</v>
      </c>
      <c r="B1" s="3608"/>
      <c r="C1" s="3608"/>
      <c r="D1" s="3608"/>
      <c r="E1" s="3608"/>
      <c r="F1" s="360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6" thickBot="1">
      <c r="A2" s="3609" t="s">
        <v>169</v>
      </c>
      <c r="B2" s="3609"/>
      <c r="C2" s="3609"/>
      <c r="D2" s="3609"/>
      <c r="E2" s="3609"/>
      <c r="F2" s="360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61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61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344"/>
  <sheetViews>
    <sheetView workbookViewId="0">
      <selection activeCell="F6" sqref="F6"/>
    </sheetView>
  </sheetViews>
  <sheetFormatPr baseColWidth="10" defaultColWidth="8.83203125" defaultRowHeight="14"/>
  <cols>
    <col min="1" max="1" width="12.6640625" style="855" customWidth="1"/>
    <col min="2" max="2" width="10.1640625" style="813" customWidth="1"/>
  </cols>
  <sheetData>
    <row r="1" spans="1:6">
      <c r="A1" s="3608" t="s">
        <v>867</v>
      </c>
      <c r="B1" s="3608"/>
    </row>
    <row r="2" spans="1:6" ht="15" thickBot="1">
      <c r="A2" s="1057"/>
      <c r="B2" s="1057"/>
    </row>
    <row r="3" spans="1:6" ht="15" thickBot="1">
      <c r="A3" s="1057"/>
      <c r="B3" s="1057"/>
      <c r="C3" s="1061" t="s">
        <v>870</v>
      </c>
      <c r="D3" s="1061" t="s">
        <v>871</v>
      </c>
      <c r="E3" s="1061" t="s">
        <v>872</v>
      </c>
      <c r="F3" s="1061" t="s">
        <v>873</v>
      </c>
    </row>
    <row r="4" spans="1:6" ht="16" thickBot="1">
      <c r="A4" s="1059" t="s">
        <v>868</v>
      </c>
      <c r="B4" s="1060" t="s">
        <v>869</v>
      </c>
      <c r="C4" s="1061"/>
      <c r="D4" s="1061"/>
      <c r="E4" s="1061"/>
      <c r="F4" s="1061"/>
    </row>
    <row r="5" spans="1:6" ht="16" thickBot="1">
      <c r="A5" s="840" t="s">
        <v>874</v>
      </c>
      <c r="B5" s="841" t="s">
        <v>875</v>
      </c>
      <c r="C5" s="1062">
        <v>8.8999999999999996E-2</v>
      </c>
      <c r="D5" s="1062">
        <v>7.3999999999999996E-2</v>
      </c>
      <c r="E5" s="1062">
        <v>7.4999999999999997E-2</v>
      </c>
      <c r="F5" s="1063">
        <v>0.1</v>
      </c>
    </row>
    <row r="6" spans="1:6" ht="16" thickBot="1">
      <c r="A6" s="840" t="s">
        <v>212</v>
      </c>
      <c r="B6" s="834" t="s">
        <v>876</v>
      </c>
      <c r="C6" s="1064">
        <v>0.1</v>
      </c>
      <c r="D6" s="1064">
        <v>9.0999999999999998E-2</v>
      </c>
      <c r="E6" s="1064">
        <v>9.0999999999999998E-2</v>
      </c>
      <c r="F6" s="1065">
        <v>0.1</v>
      </c>
    </row>
    <row r="7" spans="1:6" ht="16" thickBot="1">
      <c r="A7" s="840" t="s">
        <v>212</v>
      </c>
      <c r="B7" s="844" t="s">
        <v>201</v>
      </c>
      <c r="C7" s="1064">
        <v>8.5999999999999993E-2</v>
      </c>
      <c r="D7" s="1064">
        <v>9.6000000000000002E-2</v>
      </c>
      <c r="E7" s="1064">
        <v>7.5999999999999998E-2</v>
      </c>
      <c r="F7" s="1065">
        <v>0.1</v>
      </c>
    </row>
    <row r="8" spans="1:6" ht="16" thickBot="1">
      <c r="A8" s="840" t="s">
        <v>212</v>
      </c>
      <c r="B8" s="834" t="s">
        <v>213</v>
      </c>
      <c r="C8" s="1064">
        <v>9.9000000000000005E-2</v>
      </c>
      <c r="D8" s="1064">
        <v>9.8000000000000004E-2</v>
      </c>
      <c r="E8" s="1064">
        <v>9.8000000000000004E-2</v>
      </c>
      <c r="F8" s="1065">
        <v>0.1</v>
      </c>
    </row>
    <row r="9" spans="1:6" ht="16" thickBot="1">
      <c r="A9" s="850" t="s">
        <v>212</v>
      </c>
      <c r="B9" s="845" t="s">
        <v>225</v>
      </c>
      <c r="C9" s="1066">
        <v>0.05</v>
      </c>
      <c r="D9" s="1074"/>
      <c r="E9" s="1074"/>
      <c r="F9" s="1075"/>
    </row>
    <row r="10" spans="1:6" ht="16" thickBot="1">
      <c r="A10" s="840" t="s">
        <v>269</v>
      </c>
      <c r="B10" s="841" t="s">
        <v>877</v>
      </c>
      <c r="C10" s="1062">
        <v>8.8999999999999996E-2</v>
      </c>
      <c r="D10" s="1062">
        <v>7.2999999999999995E-2</v>
      </c>
      <c r="E10" s="1062">
        <v>8.2000000000000003E-2</v>
      </c>
      <c r="F10" s="1063">
        <v>0.1</v>
      </c>
    </row>
    <row r="11" spans="1:6" ht="16" thickBot="1">
      <c r="A11" s="840" t="s">
        <v>269</v>
      </c>
      <c r="B11" s="844" t="s">
        <v>188</v>
      </c>
      <c r="C11" s="1064">
        <v>8.8999999999999996E-2</v>
      </c>
      <c r="D11" s="1064">
        <v>7.2999999999999995E-2</v>
      </c>
      <c r="E11" s="1064">
        <v>8.2000000000000003E-2</v>
      </c>
      <c r="F11" s="1065">
        <v>0.1</v>
      </c>
    </row>
    <row r="12" spans="1:6" ht="16" thickBot="1">
      <c r="A12" s="840" t="s">
        <v>269</v>
      </c>
      <c r="B12" s="844" t="s">
        <v>138</v>
      </c>
      <c r="C12" s="1064">
        <v>6.0999999999999999E-2</v>
      </c>
      <c r="D12" s="1064">
        <v>7.0999999999999994E-2</v>
      </c>
      <c r="E12" s="1064">
        <v>9.6000000000000002E-2</v>
      </c>
      <c r="F12" s="1065">
        <v>0.1</v>
      </c>
    </row>
    <row r="13" spans="1:6" ht="16" thickBot="1">
      <c r="A13" s="840" t="s">
        <v>269</v>
      </c>
      <c r="B13" s="844" t="s">
        <v>214</v>
      </c>
      <c r="C13" s="1064">
        <v>6.9000000000000006E-2</v>
      </c>
      <c r="D13" s="1064">
        <v>6.5000000000000002E-2</v>
      </c>
      <c r="E13" s="1064">
        <v>6.6000000000000003E-2</v>
      </c>
      <c r="F13" s="1065">
        <v>0.1</v>
      </c>
    </row>
    <row r="14" spans="1:6" ht="16" thickBot="1">
      <c r="A14" s="840" t="s">
        <v>269</v>
      </c>
      <c r="B14" s="844" t="s">
        <v>226</v>
      </c>
      <c r="C14" s="1064">
        <v>0.1</v>
      </c>
      <c r="D14" s="1064">
        <v>6.5000000000000002E-2</v>
      </c>
      <c r="E14" s="1064">
        <v>7.0000000000000007E-2</v>
      </c>
      <c r="F14" s="1065">
        <v>0.1</v>
      </c>
    </row>
    <row r="15" spans="1:6" ht="16" thickBot="1">
      <c r="A15" s="840" t="s">
        <v>269</v>
      </c>
      <c r="B15" s="844" t="s">
        <v>237</v>
      </c>
      <c r="C15" s="1064">
        <v>9.8000000000000004E-2</v>
      </c>
      <c r="D15" s="1064">
        <v>8.8999999999999996E-2</v>
      </c>
      <c r="E15" s="1064">
        <v>8.8999999999999996E-2</v>
      </c>
      <c r="F15" s="1065">
        <v>0.1</v>
      </c>
    </row>
    <row r="16" spans="1:6" ht="16" thickBot="1">
      <c r="A16" s="840" t="s">
        <v>269</v>
      </c>
      <c r="B16" s="844" t="s">
        <v>248</v>
      </c>
      <c r="C16" s="1064">
        <v>7.0000000000000007E-2</v>
      </c>
      <c r="D16" s="1064">
        <v>9.2999999999999999E-2</v>
      </c>
      <c r="E16" s="1064">
        <v>9.6000000000000002E-2</v>
      </c>
      <c r="F16" s="1065">
        <v>0.1</v>
      </c>
    </row>
    <row r="17" spans="1:6" ht="16" thickBot="1">
      <c r="A17" s="840" t="s">
        <v>269</v>
      </c>
      <c r="B17" s="844" t="s">
        <v>259</v>
      </c>
      <c r="C17" s="1064">
        <v>9.5000000000000001E-2</v>
      </c>
      <c r="D17" s="1064">
        <v>0.1</v>
      </c>
      <c r="E17" s="1064">
        <v>0.1</v>
      </c>
      <c r="F17" s="1076"/>
    </row>
    <row r="18" spans="1:6" ht="16" thickBot="1">
      <c r="A18" s="840" t="s">
        <v>269</v>
      </c>
      <c r="B18" s="844" t="s">
        <v>271</v>
      </c>
      <c r="C18" s="1064">
        <v>7.3999999999999996E-2</v>
      </c>
      <c r="D18" s="1064">
        <v>9.9000000000000005E-2</v>
      </c>
      <c r="E18" s="1064">
        <v>0.1</v>
      </c>
      <c r="F18" s="1076"/>
    </row>
    <row r="19" spans="1:6" ht="16" thickBot="1">
      <c r="A19" s="840" t="s">
        <v>269</v>
      </c>
      <c r="B19" s="844" t="s">
        <v>281</v>
      </c>
      <c r="C19" s="1064">
        <v>9.9000000000000005E-2</v>
      </c>
      <c r="D19" s="1064">
        <v>7.5999999999999998E-2</v>
      </c>
      <c r="E19" s="1064">
        <v>8.6999999999999994E-2</v>
      </c>
      <c r="F19" s="1076"/>
    </row>
    <row r="20" spans="1:6" ht="16" thickBot="1">
      <c r="A20" s="840" t="s">
        <v>269</v>
      </c>
      <c r="B20" s="844" t="s">
        <v>291</v>
      </c>
      <c r="C20" s="1064">
        <v>9.8000000000000004E-2</v>
      </c>
      <c r="D20" s="1064">
        <v>8.5000000000000006E-2</v>
      </c>
      <c r="E20" s="1064">
        <v>8.2000000000000003E-2</v>
      </c>
      <c r="F20" s="1076"/>
    </row>
    <row r="21" spans="1:6" ht="16" thickBot="1">
      <c r="A21" s="840" t="s">
        <v>269</v>
      </c>
      <c r="B21" s="844" t="s">
        <v>301</v>
      </c>
      <c r="C21" s="1064">
        <v>6.6000000000000003E-2</v>
      </c>
      <c r="D21" s="1064">
        <v>6.4000000000000001E-2</v>
      </c>
      <c r="E21" s="1064">
        <v>6.5000000000000002E-2</v>
      </c>
      <c r="F21" s="1076"/>
    </row>
    <row r="22" spans="1:6" ht="16" thickBot="1">
      <c r="A22" s="840" t="s">
        <v>269</v>
      </c>
      <c r="B22" s="844" t="s">
        <v>878</v>
      </c>
      <c r="C22" s="1064">
        <v>0.08</v>
      </c>
      <c r="D22" s="1064">
        <v>9.8000000000000004E-2</v>
      </c>
      <c r="E22" s="1064">
        <v>9.8000000000000004E-2</v>
      </c>
      <c r="F22" s="1076"/>
    </row>
    <row r="23" spans="1:6" ht="16" thickBot="1">
      <c r="A23" s="840" t="s">
        <v>269</v>
      </c>
      <c r="B23" s="844" t="s">
        <v>322</v>
      </c>
      <c r="C23" s="1064">
        <v>9.9000000000000005E-2</v>
      </c>
      <c r="D23" s="1064">
        <v>9.8000000000000004E-2</v>
      </c>
      <c r="E23" s="1064">
        <v>9.0999999999999998E-2</v>
      </c>
      <c r="F23" s="1076"/>
    </row>
    <row r="24" spans="1:6" ht="16" thickBot="1">
      <c r="A24" s="840" t="s">
        <v>269</v>
      </c>
      <c r="B24" s="844" t="s">
        <v>333</v>
      </c>
      <c r="C24" s="1064">
        <v>8.8999999999999996E-2</v>
      </c>
      <c r="D24" s="1064">
        <v>9.7000000000000003E-2</v>
      </c>
      <c r="E24" s="1064">
        <v>7.0000000000000007E-2</v>
      </c>
      <c r="F24" s="1076"/>
    </row>
    <row r="25" spans="1:6" ht="16" thickBot="1">
      <c r="A25" s="840" t="s">
        <v>269</v>
      </c>
      <c r="B25" s="844" t="s">
        <v>343</v>
      </c>
      <c r="C25" s="1064">
        <v>8.8999999999999996E-2</v>
      </c>
      <c r="D25" s="1064">
        <v>0.1</v>
      </c>
      <c r="E25" s="1064">
        <v>8.1000000000000003E-2</v>
      </c>
      <c r="F25" s="1076"/>
    </row>
    <row r="26" spans="1:6" ht="16" thickBot="1">
      <c r="A26" s="840" t="s">
        <v>269</v>
      </c>
      <c r="B26" s="844" t="s">
        <v>353</v>
      </c>
      <c r="C26" s="1077"/>
      <c r="D26" s="1064">
        <v>9.6000000000000002E-2</v>
      </c>
      <c r="E26" s="1064">
        <v>9.2999999999999999E-2</v>
      </c>
      <c r="F26" s="1076"/>
    </row>
    <row r="27" spans="1:6" ht="16" thickBot="1">
      <c r="A27" s="840" t="s">
        <v>269</v>
      </c>
      <c r="B27" s="844" t="s">
        <v>363</v>
      </c>
      <c r="C27" s="1077"/>
      <c r="D27" s="1064">
        <v>7.5999999999999998E-2</v>
      </c>
      <c r="E27" s="1064">
        <v>9.1999999999999998E-2</v>
      </c>
      <c r="F27" s="1076"/>
    </row>
    <row r="28" spans="1:6" ht="16" thickBot="1">
      <c r="A28" s="850" t="s">
        <v>269</v>
      </c>
      <c r="B28" s="845" t="s">
        <v>373</v>
      </c>
      <c r="C28" s="1074"/>
      <c r="D28" s="1066">
        <v>7.5999999999999998E-2</v>
      </c>
      <c r="E28" s="1066">
        <v>9.1999999999999998E-2</v>
      </c>
      <c r="F28" s="1075"/>
    </row>
    <row r="29" spans="1:6" ht="16" thickBot="1">
      <c r="A29" s="840" t="s">
        <v>442</v>
      </c>
      <c r="B29" s="841" t="s">
        <v>879</v>
      </c>
      <c r="C29" s="1062">
        <v>6.4000000000000001E-2</v>
      </c>
      <c r="D29" s="1062">
        <v>6.5000000000000002E-2</v>
      </c>
      <c r="E29" s="1062">
        <v>6.9000000000000006E-2</v>
      </c>
      <c r="F29" s="1063">
        <v>0.1</v>
      </c>
    </row>
    <row r="30" spans="1:6" ht="16" thickBot="1">
      <c r="A30" s="840" t="s">
        <v>442</v>
      </c>
      <c r="B30" s="844" t="s">
        <v>189</v>
      </c>
      <c r="C30" s="1064">
        <v>6.4000000000000001E-2</v>
      </c>
      <c r="D30" s="1064">
        <v>9.9000000000000005E-2</v>
      </c>
      <c r="E30" s="1064">
        <v>0.1</v>
      </c>
      <c r="F30" s="1065">
        <v>0.1</v>
      </c>
    </row>
    <row r="31" spans="1:6" ht="16" thickBot="1">
      <c r="A31" s="840" t="s">
        <v>442</v>
      </c>
      <c r="B31" s="844" t="s">
        <v>202</v>
      </c>
      <c r="C31" s="1064">
        <v>0.1</v>
      </c>
      <c r="D31" s="1064">
        <v>9.5000000000000001E-2</v>
      </c>
      <c r="E31" s="1064">
        <v>8.8999999999999996E-2</v>
      </c>
      <c r="F31" s="1065">
        <v>0.1</v>
      </c>
    </row>
    <row r="32" spans="1:6" ht="16" thickBot="1">
      <c r="A32" s="840" t="s">
        <v>442</v>
      </c>
      <c r="B32" s="844" t="s">
        <v>215</v>
      </c>
      <c r="C32" s="1064">
        <v>0.05</v>
      </c>
      <c r="D32" s="1064">
        <v>0.05</v>
      </c>
      <c r="E32" s="1064">
        <v>8.7999999999999995E-2</v>
      </c>
      <c r="F32" s="1065">
        <v>0.1</v>
      </c>
    </row>
    <row r="33" spans="1:6" ht="16" thickBot="1">
      <c r="A33" s="840" t="s">
        <v>442</v>
      </c>
      <c r="B33" s="844" t="s">
        <v>227</v>
      </c>
      <c r="C33" s="1064">
        <v>7.4999999999999997E-2</v>
      </c>
      <c r="D33" s="1064">
        <v>9.4E-2</v>
      </c>
      <c r="E33" s="1064">
        <v>9.7000000000000003E-2</v>
      </c>
      <c r="F33" s="1065">
        <v>0.1</v>
      </c>
    </row>
    <row r="34" spans="1:6" ht="16" thickBot="1">
      <c r="A34" s="840" t="s">
        <v>442</v>
      </c>
      <c r="B34" s="844" t="s">
        <v>238</v>
      </c>
      <c r="C34" s="1064">
        <v>9.8000000000000004E-2</v>
      </c>
      <c r="D34" s="1064">
        <v>8.5999999999999993E-2</v>
      </c>
      <c r="E34" s="1064">
        <v>9.7000000000000003E-2</v>
      </c>
      <c r="F34" s="1065">
        <v>0.1</v>
      </c>
    </row>
    <row r="35" spans="1:6" ht="16" thickBot="1">
      <c r="A35" s="840" t="s">
        <v>442</v>
      </c>
      <c r="B35" s="844" t="s">
        <v>249</v>
      </c>
      <c r="C35" s="1064">
        <v>5.8999999999999997E-2</v>
      </c>
      <c r="D35" s="1064">
        <v>6.5000000000000002E-2</v>
      </c>
      <c r="E35" s="1064">
        <v>7.0000000000000007E-2</v>
      </c>
      <c r="F35" s="1065">
        <v>0.1</v>
      </c>
    </row>
    <row r="36" spans="1:6" ht="16" thickBot="1">
      <c r="A36" s="840" t="s">
        <v>442</v>
      </c>
      <c r="B36" s="844" t="s">
        <v>260</v>
      </c>
      <c r="C36" s="1064">
        <v>6.3E-2</v>
      </c>
      <c r="D36" s="1064">
        <v>0.1</v>
      </c>
      <c r="E36" s="1064">
        <v>0.1</v>
      </c>
      <c r="F36" s="1065">
        <v>0.1</v>
      </c>
    </row>
    <row r="37" spans="1:6" ht="16" thickBot="1">
      <c r="A37" s="840" t="s">
        <v>442</v>
      </c>
      <c r="B37" s="844" t="s">
        <v>272</v>
      </c>
      <c r="C37" s="1064">
        <v>7.3999999999999996E-2</v>
      </c>
      <c r="D37" s="1064">
        <v>0.1</v>
      </c>
      <c r="E37" s="1064">
        <v>0.1</v>
      </c>
      <c r="F37" s="1065">
        <v>0.1</v>
      </c>
    </row>
    <row r="38" spans="1:6" ht="16" thickBot="1">
      <c r="A38" s="840" t="s">
        <v>442</v>
      </c>
      <c r="B38" s="844" t="s">
        <v>282</v>
      </c>
      <c r="C38" s="1064">
        <v>0.1</v>
      </c>
      <c r="D38" s="1064">
        <v>9.6000000000000002E-2</v>
      </c>
      <c r="E38" s="1064">
        <v>9.6000000000000002E-2</v>
      </c>
      <c r="F38" s="1076"/>
    </row>
    <row r="39" spans="1:6" ht="16" thickBot="1">
      <c r="A39" s="840" t="s">
        <v>442</v>
      </c>
      <c r="B39" s="844" t="s">
        <v>292</v>
      </c>
      <c r="C39" s="1064">
        <v>0.1</v>
      </c>
      <c r="D39" s="1064">
        <v>9.6000000000000002E-2</v>
      </c>
      <c r="E39" s="1064">
        <v>9.6000000000000002E-2</v>
      </c>
      <c r="F39" s="1076"/>
    </row>
    <row r="40" spans="1:6" ht="16" thickBot="1">
      <c r="A40" s="840" t="s">
        <v>442</v>
      </c>
      <c r="B40" s="844" t="s">
        <v>302</v>
      </c>
      <c r="C40" s="1064">
        <v>9.6000000000000002E-2</v>
      </c>
      <c r="D40" s="1064">
        <v>0.1</v>
      </c>
      <c r="E40" s="1064">
        <v>9.9000000000000005E-2</v>
      </c>
      <c r="F40" s="1076"/>
    </row>
    <row r="41" spans="1:6" ht="16" thickBot="1">
      <c r="A41" s="840" t="s">
        <v>442</v>
      </c>
      <c r="B41" s="844" t="s">
        <v>312</v>
      </c>
      <c r="C41" s="1064">
        <v>9.6000000000000002E-2</v>
      </c>
      <c r="D41" s="1064">
        <v>9.8000000000000004E-2</v>
      </c>
      <c r="E41" s="1064">
        <v>9.8000000000000004E-2</v>
      </c>
      <c r="F41" s="1076"/>
    </row>
    <row r="42" spans="1:6" ht="16" thickBot="1">
      <c r="A42" s="840" t="s">
        <v>442</v>
      </c>
      <c r="B42" s="844" t="s">
        <v>323</v>
      </c>
      <c r="C42" s="1064">
        <v>0.1</v>
      </c>
      <c r="D42" s="1064">
        <v>8.7999999999999995E-2</v>
      </c>
      <c r="E42" s="1064">
        <v>0.1</v>
      </c>
      <c r="F42" s="1076"/>
    </row>
    <row r="43" spans="1:6" ht="16" thickBot="1">
      <c r="A43" s="840" t="s">
        <v>442</v>
      </c>
      <c r="B43" s="844" t="s">
        <v>334</v>
      </c>
      <c r="C43" s="1064">
        <v>9.8000000000000004E-2</v>
      </c>
      <c r="D43" s="1064">
        <v>9.7000000000000003E-2</v>
      </c>
      <c r="E43" s="1064">
        <v>9.6000000000000002E-2</v>
      </c>
      <c r="F43" s="1076"/>
    </row>
    <row r="44" spans="1:6" ht="16" thickBot="1">
      <c r="A44" s="840" t="s">
        <v>442</v>
      </c>
      <c r="B44" s="844" t="s">
        <v>344</v>
      </c>
      <c r="C44" s="1064">
        <v>8.5999999999999993E-2</v>
      </c>
      <c r="D44" s="1064">
        <v>7.9000000000000001E-2</v>
      </c>
      <c r="E44" s="1064">
        <v>7.0999999999999994E-2</v>
      </c>
      <c r="F44" s="1076"/>
    </row>
    <row r="45" spans="1:6" ht="16" thickBot="1">
      <c r="A45" s="840" t="s">
        <v>442</v>
      </c>
      <c r="B45" s="844" t="s">
        <v>354</v>
      </c>
      <c r="C45" s="1064">
        <v>9.8000000000000004E-2</v>
      </c>
      <c r="D45" s="1064">
        <v>9.6000000000000002E-2</v>
      </c>
      <c r="E45" s="1064">
        <v>9.6000000000000002E-2</v>
      </c>
      <c r="F45" s="1076"/>
    </row>
    <row r="46" spans="1:6" ht="16" thickBot="1">
      <c r="A46" s="840" t="s">
        <v>442</v>
      </c>
      <c r="B46" s="844" t="s">
        <v>364</v>
      </c>
      <c r="C46" s="1064">
        <v>8.5999999999999993E-2</v>
      </c>
      <c r="D46" s="1064">
        <v>9.8000000000000004E-2</v>
      </c>
      <c r="E46" s="1064">
        <v>8.7999999999999995E-2</v>
      </c>
      <c r="F46" s="1076"/>
    </row>
    <row r="47" spans="1:6" ht="16" thickBot="1">
      <c r="A47" s="840" t="s">
        <v>442</v>
      </c>
      <c r="B47" s="844" t="s">
        <v>374</v>
      </c>
      <c r="C47" s="1064">
        <v>9.6000000000000002E-2</v>
      </c>
      <c r="D47" s="1077"/>
      <c r="E47" s="1064">
        <v>6.9000000000000006E-2</v>
      </c>
      <c r="F47" s="1076"/>
    </row>
    <row r="48" spans="1:6" ht="16" thickBot="1">
      <c r="A48" s="850" t="s">
        <v>442</v>
      </c>
      <c r="B48" s="845" t="s">
        <v>383</v>
      </c>
      <c r="C48" s="1066">
        <v>9.8000000000000004E-2</v>
      </c>
      <c r="D48" s="1074"/>
      <c r="E48" s="1066">
        <v>9.5000000000000001E-2</v>
      </c>
      <c r="F48" s="1075"/>
    </row>
    <row r="49" spans="1:6" ht="16" thickBot="1">
      <c r="A49" s="840" t="s">
        <v>137</v>
      </c>
      <c r="B49" s="841" t="s">
        <v>880</v>
      </c>
      <c r="C49" s="1062">
        <v>9.7000000000000003E-2</v>
      </c>
      <c r="D49" s="1062">
        <v>9.5000000000000001E-2</v>
      </c>
      <c r="E49" s="1062">
        <v>9.7000000000000003E-2</v>
      </c>
      <c r="F49" s="1063">
        <v>0.1</v>
      </c>
    </row>
    <row r="50" spans="1:6" ht="16" thickBot="1">
      <c r="A50" s="840" t="s">
        <v>137</v>
      </c>
      <c r="B50" s="834" t="s">
        <v>190</v>
      </c>
      <c r="C50" s="1064">
        <v>7.4999999999999997E-2</v>
      </c>
      <c r="D50" s="1064">
        <v>9.5000000000000001E-2</v>
      </c>
      <c r="E50" s="1064">
        <v>0.1</v>
      </c>
      <c r="F50" s="1065">
        <v>0.1</v>
      </c>
    </row>
    <row r="51" spans="1:6" ht="16" thickBot="1">
      <c r="A51" s="840" t="s">
        <v>137</v>
      </c>
      <c r="B51" s="834" t="s">
        <v>203</v>
      </c>
      <c r="C51" s="1064">
        <v>9.8000000000000004E-2</v>
      </c>
      <c r="D51" s="1064">
        <v>8.8999999999999996E-2</v>
      </c>
      <c r="E51" s="1064">
        <v>0.1</v>
      </c>
      <c r="F51" s="1065">
        <v>0.1</v>
      </c>
    </row>
    <row r="52" spans="1:6" ht="16" thickBot="1">
      <c r="A52" s="840" t="s">
        <v>137</v>
      </c>
      <c r="B52" s="834" t="s">
        <v>216</v>
      </c>
      <c r="C52" s="1064">
        <v>9.8000000000000004E-2</v>
      </c>
      <c r="D52" s="1064">
        <v>9.7000000000000003E-2</v>
      </c>
      <c r="E52" s="1064">
        <v>8.1000000000000003E-2</v>
      </c>
      <c r="F52" s="1065">
        <v>0.1</v>
      </c>
    </row>
    <row r="53" spans="1:6" ht="16" thickBot="1">
      <c r="A53" s="840" t="s">
        <v>137</v>
      </c>
      <c r="B53" s="834" t="s">
        <v>228</v>
      </c>
      <c r="C53" s="1064">
        <v>9.7000000000000003E-2</v>
      </c>
      <c r="D53" s="1064">
        <v>7.5999999999999998E-2</v>
      </c>
      <c r="E53" s="1064">
        <v>7.0999999999999994E-2</v>
      </c>
      <c r="F53" s="1065">
        <v>0.1</v>
      </c>
    </row>
    <row r="54" spans="1:6" ht="16" thickBot="1">
      <c r="A54" s="840" t="s">
        <v>137</v>
      </c>
      <c r="B54" s="834" t="s">
        <v>239</v>
      </c>
      <c r="C54" s="1064">
        <v>7.5999999999999998E-2</v>
      </c>
      <c r="D54" s="1064">
        <v>0.1</v>
      </c>
      <c r="E54" s="1064">
        <v>9.9000000000000005E-2</v>
      </c>
      <c r="F54" s="1065">
        <v>0.1</v>
      </c>
    </row>
    <row r="55" spans="1:6" ht="16" thickBot="1">
      <c r="A55" s="840" t="s">
        <v>137</v>
      </c>
      <c r="B55" s="834" t="s">
        <v>250</v>
      </c>
      <c r="C55" s="1064">
        <v>0.1</v>
      </c>
      <c r="D55" s="1064">
        <v>0.1</v>
      </c>
      <c r="E55" s="1064">
        <v>9.6000000000000002E-2</v>
      </c>
      <c r="F55" s="1065">
        <v>0.1</v>
      </c>
    </row>
    <row r="56" spans="1:6" ht="16" thickBot="1">
      <c r="A56" s="840" t="s">
        <v>137</v>
      </c>
      <c r="B56" s="834" t="s">
        <v>261</v>
      </c>
      <c r="C56" s="1064">
        <v>0.1</v>
      </c>
      <c r="D56" s="1064">
        <v>9.6000000000000002E-2</v>
      </c>
      <c r="E56" s="1064">
        <v>5.1999999999999998E-2</v>
      </c>
      <c r="F56" s="1065">
        <v>0.1</v>
      </c>
    </row>
    <row r="57" spans="1:6" ht="16" thickBot="1">
      <c r="A57" s="840" t="s">
        <v>137</v>
      </c>
      <c r="B57" s="834" t="s">
        <v>273</v>
      </c>
      <c r="C57" s="1064">
        <v>9.7000000000000003E-2</v>
      </c>
      <c r="D57" s="1064">
        <v>9.6000000000000002E-2</v>
      </c>
      <c r="E57" s="1064">
        <v>9.6000000000000002E-2</v>
      </c>
      <c r="F57" s="1065">
        <v>0.1</v>
      </c>
    </row>
    <row r="58" spans="1:6" ht="16" thickBot="1">
      <c r="A58" s="840" t="s">
        <v>137</v>
      </c>
      <c r="B58" s="834" t="s">
        <v>283</v>
      </c>
      <c r="C58" s="1064">
        <v>9.6000000000000002E-2</v>
      </c>
      <c r="D58" s="1064">
        <v>9.9000000000000005E-2</v>
      </c>
      <c r="E58" s="1064">
        <v>9.6000000000000002E-2</v>
      </c>
      <c r="F58" s="1065">
        <v>0.1</v>
      </c>
    </row>
    <row r="59" spans="1:6" ht="16" thickBot="1">
      <c r="A59" s="840" t="s">
        <v>137</v>
      </c>
      <c r="B59" s="834" t="s">
        <v>293</v>
      </c>
      <c r="C59" s="1064">
        <v>7.1999999999999995E-2</v>
      </c>
      <c r="D59" s="1064">
        <v>9.6000000000000002E-2</v>
      </c>
      <c r="E59" s="1064">
        <v>7.0999999999999994E-2</v>
      </c>
      <c r="F59" s="1065">
        <v>0.1</v>
      </c>
    </row>
    <row r="60" spans="1:6" ht="16" thickBot="1">
      <c r="A60" s="840" t="s">
        <v>137</v>
      </c>
      <c r="B60" s="834" t="s">
        <v>303</v>
      </c>
      <c r="C60" s="1064">
        <v>9.6000000000000002E-2</v>
      </c>
      <c r="D60" s="1064">
        <v>8.8999999999999996E-2</v>
      </c>
      <c r="E60" s="1064">
        <v>9.6000000000000002E-2</v>
      </c>
      <c r="F60" s="1065">
        <v>0.1</v>
      </c>
    </row>
    <row r="61" spans="1:6" ht="16" thickBot="1">
      <c r="A61" s="840" t="s">
        <v>137</v>
      </c>
      <c r="B61" s="834" t="s">
        <v>313</v>
      </c>
      <c r="C61" s="1064">
        <v>8.8999999999999996E-2</v>
      </c>
      <c r="D61" s="1064">
        <v>9.8000000000000004E-2</v>
      </c>
      <c r="E61" s="1064">
        <v>8.7999999999999995E-2</v>
      </c>
      <c r="F61" s="1076"/>
    </row>
    <row r="62" spans="1:6" ht="16" thickBot="1">
      <c r="A62" s="840" t="s">
        <v>137</v>
      </c>
      <c r="B62" s="834" t="s">
        <v>324</v>
      </c>
      <c r="C62" s="1064">
        <v>9.8000000000000004E-2</v>
      </c>
      <c r="D62" s="1064">
        <v>9.2999999999999999E-2</v>
      </c>
      <c r="E62" s="1064">
        <v>9.7000000000000003E-2</v>
      </c>
      <c r="F62" s="1076"/>
    </row>
    <row r="63" spans="1:6" ht="16" thickBot="1">
      <c r="A63" s="840" t="s">
        <v>137</v>
      </c>
      <c r="B63" s="834" t="s">
        <v>335</v>
      </c>
      <c r="C63" s="1064">
        <v>9.6000000000000002E-2</v>
      </c>
      <c r="D63" s="1064">
        <v>9.8000000000000004E-2</v>
      </c>
      <c r="E63" s="1064">
        <v>0.09</v>
      </c>
      <c r="F63" s="1076"/>
    </row>
    <row r="64" spans="1:6" ht="16" thickBot="1">
      <c r="A64" s="840" t="s">
        <v>137</v>
      </c>
      <c r="B64" s="834" t="s">
        <v>345</v>
      </c>
      <c r="C64" s="1064">
        <v>9.9000000000000005E-2</v>
      </c>
      <c r="D64" s="1064">
        <v>9.7000000000000003E-2</v>
      </c>
      <c r="E64" s="1064">
        <v>9.9000000000000005E-2</v>
      </c>
      <c r="F64" s="1076"/>
    </row>
    <row r="65" spans="1:6" ht="16" thickBot="1">
      <c r="A65" s="840" t="s">
        <v>137</v>
      </c>
      <c r="B65" s="834" t="s">
        <v>355</v>
      </c>
      <c r="C65" s="1064">
        <v>9.8000000000000004E-2</v>
      </c>
      <c r="D65" s="1064">
        <v>9.6000000000000002E-2</v>
      </c>
      <c r="E65" s="1064">
        <v>9.6000000000000002E-2</v>
      </c>
      <c r="F65" s="1076"/>
    </row>
    <row r="66" spans="1:6" ht="16" thickBot="1">
      <c r="A66" s="840" t="s">
        <v>137</v>
      </c>
      <c r="B66" s="834" t="s">
        <v>365</v>
      </c>
      <c r="C66" s="1064">
        <v>9.6000000000000002E-2</v>
      </c>
      <c r="D66" s="1064">
        <v>9.1999999999999998E-2</v>
      </c>
      <c r="E66" s="1064">
        <v>9.6000000000000002E-2</v>
      </c>
      <c r="F66" s="1076"/>
    </row>
    <row r="67" spans="1:6" ht="16" thickBot="1">
      <c r="A67" s="840" t="s">
        <v>137</v>
      </c>
      <c r="B67" s="834" t="s">
        <v>375</v>
      </c>
      <c r="C67" s="1064">
        <v>9.4E-2</v>
      </c>
      <c r="D67" s="1064">
        <v>0.1</v>
      </c>
      <c r="E67" s="1064">
        <v>8.7999999999999995E-2</v>
      </c>
      <c r="F67" s="1076"/>
    </row>
    <row r="68" spans="1:6" ht="16" thickBot="1">
      <c r="A68" s="840" t="s">
        <v>137</v>
      </c>
      <c r="B68" s="834" t="s">
        <v>384</v>
      </c>
      <c r="C68" s="1064">
        <v>0.1</v>
      </c>
      <c r="D68" s="1064">
        <v>8.7999999999999995E-2</v>
      </c>
      <c r="E68" s="1064">
        <v>9.7000000000000003E-2</v>
      </c>
      <c r="F68" s="1076"/>
    </row>
    <row r="69" spans="1:6" ht="16" thickBot="1">
      <c r="A69" s="840" t="s">
        <v>137</v>
      </c>
      <c r="B69" s="834" t="s">
        <v>393</v>
      </c>
      <c r="C69" s="1064">
        <v>6.4000000000000001E-2</v>
      </c>
      <c r="D69" s="1064">
        <v>0.1</v>
      </c>
      <c r="E69" s="1064">
        <v>0.1</v>
      </c>
      <c r="F69" s="1076"/>
    </row>
    <row r="70" spans="1:6" ht="16" thickBot="1">
      <c r="A70" s="840" t="s">
        <v>137</v>
      </c>
      <c r="B70" s="834" t="s">
        <v>401</v>
      </c>
      <c r="C70" s="1064">
        <v>9.0999999999999998E-2</v>
      </c>
      <c r="D70" s="1077"/>
      <c r="E70" s="1077"/>
      <c r="F70" s="1076"/>
    </row>
    <row r="71" spans="1:6" ht="16" thickBot="1">
      <c r="A71" s="840" t="s">
        <v>137</v>
      </c>
      <c r="B71" s="834" t="s">
        <v>408</v>
      </c>
      <c r="C71" s="1064">
        <v>0.1</v>
      </c>
      <c r="D71" s="1077"/>
      <c r="E71" s="1077"/>
      <c r="F71" s="1076"/>
    </row>
    <row r="72" spans="1:6" ht="16" thickBot="1">
      <c r="A72" s="840" t="s">
        <v>137</v>
      </c>
      <c r="B72" s="834" t="s">
        <v>881</v>
      </c>
      <c r="C72" s="1077"/>
      <c r="D72" s="1077"/>
      <c r="E72" s="1077"/>
      <c r="F72" s="1065">
        <v>0.05</v>
      </c>
    </row>
    <row r="73" spans="1:6" ht="16" thickBot="1">
      <c r="A73" s="840" t="s">
        <v>137</v>
      </c>
      <c r="B73" s="834" t="s">
        <v>882</v>
      </c>
      <c r="C73" s="1077"/>
      <c r="D73" s="1077"/>
      <c r="E73" s="1077"/>
      <c r="F73" s="1065">
        <v>0.05</v>
      </c>
    </row>
    <row r="74" spans="1:6" ht="16" thickBot="1">
      <c r="A74" s="840" t="s">
        <v>137</v>
      </c>
      <c r="B74" s="834" t="s">
        <v>883</v>
      </c>
      <c r="C74" s="1077"/>
      <c r="D74" s="1077"/>
      <c r="E74" s="1077"/>
      <c r="F74" s="1065">
        <v>0.05</v>
      </c>
    </row>
    <row r="75" spans="1:6" ht="16" thickBot="1">
      <c r="A75" s="850" t="s">
        <v>137</v>
      </c>
      <c r="B75" s="846" t="s">
        <v>884</v>
      </c>
      <c r="C75" s="1074"/>
      <c r="D75" s="1074"/>
      <c r="E75" s="1074"/>
      <c r="F75" s="1067">
        <v>0.05</v>
      </c>
    </row>
    <row r="76" spans="1:6" ht="16" thickBot="1">
      <c r="A76" s="840" t="s">
        <v>523</v>
      </c>
      <c r="B76" s="841" t="s">
        <v>885</v>
      </c>
      <c r="C76" s="1062">
        <v>0.1</v>
      </c>
      <c r="D76" s="1062">
        <v>0.1</v>
      </c>
      <c r="E76" s="1062">
        <v>0.1</v>
      </c>
      <c r="F76" s="1063">
        <v>0.1</v>
      </c>
    </row>
    <row r="77" spans="1:6" ht="16" thickBot="1">
      <c r="A77" s="840" t="s">
        <v>523</v>
      </c>
      <c r="B77" s="834" t="s">
        <v>191</v>
      </c>
      <c r="C77" s="1064">
        <v>8.7999999999999995E-2</v>
      </c>
      <c r="D77" s="1064">
        <v>8.6999999999999994E-2</v>
      </c>
      <c r="E77" s="1064">
        <v>7.9000000000000001E-2</v>
      </c>
      <c r="F77" s="1065">
        <v>0.1</v>
      </c>
    </row>
    <row r="78" spans="1:6" ht="16" thickBot="1">
      <c r="A78" s="840" t="s">
        <v>523</v>
      </c>
      <c r="B78" s="834" t="s">
        <v>204</v>
      </c>
      <c r="C78" s="1064">
        <v>8.6999999999999994E-2</v>
      </c>
      <c r="D78" s="1064">
        <v>8.4000000000000005E-2</v>
      </c>
      <c r="E78" s="1064">
        <v>9.6000000000000002E-2</v>
      </c>
      <c r="F78" s="1065">
        <v>0.1</v>
      </c>
    </row>
    <row r="79" spans="1:6" ht="16" thickBot="1">
      <c r="A79" s="840" t="s">
        <v>523</v>
      </c>
      <c r="B79" s="834" t="s">
        <v>217</v>
      </c>
      <c r="C79" s="1064">
        <v>9.8000000000000004E-2</v>
      </c>
      <c r="D79" s="1064">
        <v>9.8000000000000004E-2</v>
      </c>
      <c r="E79" s="1064">
        <v>9.0999999999999998E-2</v>
      </c>
      <c r="F79" s="1065">
        <v>0.1</v>
      </c>
    </row>
    <row r="80" spans="1:6" ht="16" thickBot="1">
      <c r="A80" s="840" t="s">
        <v>523</v>
      </c>
      <c r="B80" s="834" t="s">
        <v>229</v>
      </c>
      <c r="C80" s="1064">
        <v>9.6000000000000002E-2</v>
      </c>
      <c r="D80" s="1064">
        <v>9.6000000000000002E-2</v>
      </c>
      <c r="E80" s="1064">
        <v>0.1</v>
      </c>
      <c r="F80" s="1065">
        <v>0.1</v>
      </c>
    </row>
    <row r="81" spans="1:6" ht="16" thickBot="1">
      <c r="A81" s="840" t="s">
        <v>523</v>
      </c>
      <c r="B81" s="834" t="s">
        <v>240</v>
      </c>
      <c r="C81" s="1064">
        <v>9.9000000000000005E-2</v>
      </c>
      <c r="D81" s="1064">
        <v>9.9000000000000005E-2</v>
      </c>
      <c r="E81" s="1064">
        <v>9.8000000000000004E-2</v>
      </c>
      <c r="F81" s="1065">
        <v>0.1</v>
      </c>
    </row>
    <row r="82" spans="1:6" ht="16" thickBot="1">
      <c r="A82" s="840" t="s">
        <v>523</v>
      </c>
      <c r="B82" s="834" t="s">
        <v>251</v>
      </c>
      <c r="C82" s="1064">
        <v>9.9000000000000005E-2</v>
      </c>
      <c r="D82" s="1064">
        <v>9.9000000000000005E-2</v>
      </c>
      <c r="E82" s="1064">
        <v>9.7000000000000003E-2</v>
      </c>
      <c r="F82" s="1065">
        <v>0.1</v>
      </c>
    </row>
    <row r="83" spans="1:6" ht="16" thickBot="1">
      <c r="A83" s="840" t="s">
        <v>523</v>
      </c>
      <c r="B83" s="834" t="s">
        <v>262</v>
      </c>
      <c r="C83" s="1064">
        <v>9.8000000000000004E-2</v>
      </c>
      <c r="D83" s="1064">
        <v>9.8000000000000004E-2</v>
      </c>
      <c r="E83" s="1064">
        <v>9.8000000000000004E-2</v>
      </c>
      <c r="F83" s="1065">
        <v>0.1</v>
      </c>
    </row>
    <row r="84" spans="1:6" ht="16" thickBot="1">
      <c r="A84" s="840" t="s">
        <v>523</v>
      </c>
      <c r="B84" s="834" t="s">
        <v>274</v>
      </c>
      <c r="C84" s="1064">
        <v>9.9000000000000005E-2</v>
      </c>
      <c r="D84" s="1064">
        <v>9.9000000000000005E-2</v>
      </c>
      <c r="E84" s="1064">
        <v>9.9000000000000005E-2</v>
      </c>
      <c r="F84" s="1065">
        <v>0.1</v>
      </c>
    </row>
    <row r="85" spans="1:6" ht="16" thickBot="1">
      <c r="A85" s="840" t="s">
        <v>523</v>
      </c>
      <c r="B85" s="834" t="s">
        <v>284</v>
      </c>
      <c r="C85" s="1064">
        <v>9.9000000000000005E-2</v>
      </c>
      <c r="D85" s="1064">
        <v>9.9000000000000005E-2</v>
      </c>
      <c r="E85" s="1064">
        <v>9.9000000000000005E-2</v>
      </c>
      <c r="F85" s="1065">
        <v>0.1</v>
      </c>
    </row>
    <row r="86" spans="1:6" ht="16" thickBot="1">
      <c r="A86" s="840" t="s">
        <v>523</v>
      </c>
      <c r="B86" s="834" t="s">
        <v>294</v>
      </c>
      <c r="C86" s="1064">
        <v>0.1</v>
      </c>
      <c r="D86" s="1064">
        <v>0.1</v>
      </c>
      <c r="E86" s="1064">
        <v>7.6999999999999999E-2</v>
      </c>
      <c r="F86" s="1065">
        <v>0.1</v>
      </c>
    </row>
    <row r="87" spans="1:6" ht="16" thickBot="1">
      <c r="A87" s="840" t="s">
        <v>523</v>
      </c>
      <c r="B87" s="834" t="s">
        <v>304</v>
      </c>
      <c r="C87" s="1064">
        <v>0.1</v>
      </c>
      <c r="D87" s="1064">
        <v>0.1</v>
      </c>
      <c r="E87" s="1064">
        <v>9.8000000000000004E-2</v>
      </c>
      <c r="F87" s="1076"/>
    </row>
    <row r="88" spans="1:6" ht="16" thickBot="1">
      <c r="A88" s="840" t="s">
        <v>523</v>
      </c>
      <c r="B88" s="834" t="s">
        <v>314</v>
      </c>
      <c r="C88" s="1064">
        <v>9.1999999999999998E-2</v>
      </c>
      <c r="D88" s="1064">
        <v>8.5000000000000006E-2</v>
      </c>
      <c r="E88" s="1064">
        <v>9.6000000000000002E-2</v>
      </c>
      <c r="F88" s="1076"/>
    </row>
    <row r="89" spans="1:6" ht="16" thickBot="1">
      <c r="A89" s="840" t="s">
        <v>523</v>
      </c>
      <c r="B89" s="834" t="s">
        <v>325</v>
      </c>
      <c r="C89" s="1064">
        <v>0.1</v>
      </c>
      <c r="D89" s="1064">
        <v>0.1</v>
      </c>
      <c r="E89" s="1064">
        <v>9.7000000000000003E-2</v>
      </c>
      <c r="F89" s="1076"/>
    </row>
    <row r="90" spans="1:6" ht="16" thickBot="1">
      <c r="A90" s="840" t="s">
        <v>523</v>
      </c>
      <c r="B90" s="834" t="s">
        <v>336</v>
      </c>
      <c r="C90" s="1064">
        <v>9.8000000000000004E-2</v>
      </c>
      <c r="D90" s="1064">
        <v>9.8000000000000004E-2</v>
      </c>
      <c r="E90" s="1064">
        <v>8.7999999999999995E-2</v>
      </c>
      <c r="F90" s="1076"/>
    </row>
    <row r="91" spans="1:6" ht="16" thickBot="1">
      <c r="A91" s="840" t="s">
        <v>523</v>
      </c>
      <c r="B91" s="834" t="s">
        <v>346</v>
      </c>
      <c r="C91" s="1064">
        <v>9.9000000000000005E-2</v>
      </c>
      <c r="D91" s="1064">
        <v>9.9000000000000005E-2</v>
      </c>
      <c r="E91" s="1064">
        <v>9.0999999999999998E-2</v>
      </c>
      <c r="F91" s="1076"/>
    </row>
    <row r="92" spans="1:6" ht="16" thickBot="1">
      <c r="A92" s="840" t="s">
        <v>523</v>
      </c>
      <c r="B92" s="834" t="s">
        <v>356</v>
      </c>
      <c r="C92" s="1064">
        <v>9.6000000000000002E-2</v>
      </c>
      <c r="D92" s="1064">
        <v>9.6000000000000002E-2</v>
      </c>
      <c r="E92" s="1064">
        <v>7.2999999999999995E-2</v>
      </c>
      <c r="F92" s="1076"/>
    </row>
    <row r="93" spans="1:6" ht="16" thickBot="1">
      <c r="A93" s="840" t="s">
        <v>523</v>
      </c>
      <c r="B93" s="834" t="s">
        <v>366</v>
      </c>
      <c r="C93" s="1064">
        <v>9.6000000000000002E-2</v>
      </c>
      <c r="D93" s="1064">
        <v>9.6000000000000002E-2</v>
      </c>
      <c r="E93" s="1064">
        <v>9.9000000000000005E-2</v>
      </c>
      <c r="F93" s="1076"/>
    </row>
    <row r="94" spans="1:6" ht="16" thickBot="1">
      <c r="A94" s="840" t="s">
        <v>523</v>
      </c>
      <c r="B94" s="834" t="s">
        <v>376</v>
      </c>
      <c r="C94" s="1064">
        <v>7.5999999999999998E-2</v>
      </c>
      <c r="D94" s="1064">
        <v>7.3999999999999996E-2</v>
      </c>
      <c r="E94" s="1064">
        <v>9.7000000000000003E-2</v>
      </c>
      <c r="F94" s="1076"/>
    </row>
    <row r="95" spans="1:6" ht="16" thickBot="1">
      <c r="A95" s="840" t="s">
        <v>523</v>
      </c>
      <c r="B95" s="834" t="s">
        <v>385</v>
      </c>
      <c r="C95" s="1064">
        <v>9.9000000000000005E-2</v>
      </c>
      <c r="D95" s="1064">
        <v>9.4E-2</v>
      </c>
      <c r="E95" s="1064">
        <v>9.6000000000000002E-2</v>
      </c>
      <c r="F95" s="1076"/>
    </row>
    <row r="96" spans="1:6" ht="16" thickBot="1">
      <c r="A96" s="840" t="s">
        <v>523</v>
      </c>
      <c r="B96" s="834" t="s">
        <v>394</v>
      </c>
      <c r="C96" s="1064">
        <v>9.9000000000000005E-2</v>
      </c>
      <c r="D96" s="1064">
        <v>9.9000000000000005E-2</v>
      </c>
      <c r="E96" s="1064">
        <v>9.9000000000000005E-2</v>
      </c>
      <c r="F96" s="1076"/>
    </row>
    <row r="97" spans="1:6" ht="16" thickBot="1">
      <c r="A97" s="840" t="s">
        <v>523</v>
      </c>
      <c r="B97" s="834" t="s">
        <v>402</v>
      </c>
      <c r="C97" s="1064">
        <v>9.8000000000000004E-2</v>
      </c>
      <c r="D97" s="1064">
        <v>9.8000000000000004E-2</v>
      </c>
      <c r="E97" s="1064">
        <v>9.7000000000000003E-2</v>
      </c>
      <c r="F97" s="1076"/>
    </row>
    <row r="98" spans="1:6" ht="16" thickBot="1">
      <c r="A98" s="840" t="s">
        <v>523</v>
      </c>
      <c r="B98" s="834" t="s">
        <v>409</v>
      </c>
      <c r="C98" s="1064">
        <v>0.1</v>
      </c>
      <c r="D98" s="1064">
        <v>0.1</v>
      </c>
      <c r="E98" s="1064">
        <v>9.7000000000000003E-2</v>
      </c>
      <c r="F98" s="1076"/>
    </row>
    <row r="99" spans="1:6" ht="16" thickBot="1">
      <c r="A99" s="840" t="s">
        <v>523</v>
      </c>
      <c r="B99" s="834" t="s">
        <v>416</v>
      </c>
      <c r="C99" s="1064">
        <v>0.1</v>
      </c>
      <c r="D99" s="1064">
        <v>0.1</v>
      </c>
      <c r="E99" s="1077"/>
      <c r="F99" s="1076"/>
    </row>
    <row r="100" spans="1:6" ht="16" thickBot="1">
      <c r="A100" s="840" t="s">
        <v>523</v>
      </c>
      <c r="B100" s="834" t="s">
        <v>423</v>
      </c>
      <c r="C100" s="1064">
        <v>0.09</v>
      </c>
      <c r="D100" s="1064">
        <v>8.8999999999999996E-2</v>
      </c>
      <c r="E100" s="1077"/>
      <c r="F100" s="1076"/>
    </row>
    <row r="101" spans="1:6" ht="16" thickBot="1">
      <c r="A101" s="840" t="s">
        <v>523</v>
      </c>
      <c r="B101" s="834" t="s">
        <v>430</v>
      </c>
      <c r="C101" s="1064">
        <v>9.8000000000000004E-2</v>
      </c>
      <c r="D101" s="1064">
        <v>9.7000000000000003E-2</v>
      </c>
      <c r="E101" s="1077"/>
      <c r="F101" s="1076"/>
    </row>
    <row r="102" spans="1:6" ht="16" thickBot="1">
      <c r="A102" s="840" t="s">
        <v>523</v>
      </c>
      <c r="B102" s="834" t="s">
        <v>886</v>
      </c>
      <c r="C102" s="1077"/>
      <c r="D102" s="1077"/>
      <c r="E102" s="1077"/>
      <c r="F102" s="1065">
        <v>0.05</v>
      </c>
    </row>
    <row r="103" spans="1:6" ht="31" thickBot="1">
      <c r="A103" s="840" t="s">
        <v>523</v>
      </c>
      <c r="B103" s="834" t="s">
        <v>887</v>
      </c>
      <c r="C103" s="1077"/>
      <c r="D103" s="1077"/>
      <c r="E103" s="1077"/>
      <c r="F103" s="1065">
        <v>0.05</v>
      </c>
    </row>
    <row r="104" spans="1:6" ht="16" thickBot="1">
      <c r="A104" s="840" t="s">
        <v>523</v>
      </c>
      <c r="B104" s="834" t="s">
        <v>888</v>
      </c>
      <c r="C104" s="1077"/>
      <c r="D104" s="1077"/>
      <c r="E104" s="1077"/>
      <c r="F104" s="1065">
        <v>0.05</v>
      </c>
    </row>
    <row r="105" spans="1:6" ht="16" thickBot="1">
      <c r="A105" s="840" t="s">
        <v>523</v>
      </c>
      <c r="B105" s="834" t="s">
        <v>889</v>
      </c>
      <c r="C105" s="1077"/>
      <c r="D105" s="1077"/>
      <c r="E105" s="1077"/>
      <c r="F105" s="1065">
        <v>0.05</v>
      </c>
    </row>
    <row r="106" spans="1:6" ht="16" thickBot="1">
      <c r="A106" s="840" t="s">
        <v>523</v>
      </c>
      <c r="B106" s="834" t="s">
        <v>890</v>
      </c>
      <c r="C106" s="1077"/>
      <c r="D106" s="1077"/>
      <c r="E106" s="1077"/>
      <c r="F106" s="1065">
        <v>0.05</v>
      </c>
    </row>
    <row r="107" spans="1:6" ht="31" thickBot="1">
      <c r="A107" s="840" t="s">
        <v>523</v>
      </c>
      <c r="B107" s="834" t="s">
        <v>891</v>
      </c>
      <c r="C107" s="1077"/>
      <c r="D107" s="1077"/>
      <c r="E107" s="1077"/>
      <c r="F107" s="1065">
        <v>0.05</v>
      </c>
    </row>
    <row r="108" spans="1:6" ht="31" thickBot="1">
      <c r="A108" s="840" t="s">
        <v>523</v>
      </c>
      <c r="B108" s="834" t="s">
        <v>892</v>
      </c>
      <c r="C108" s="1077"/>
      <c r="D108" s="1077"/>
      <c r="E108" s="1077"/>
      <c r="F108" s="1065">
        <v>0.05</v>
      </c>
    </row>
    <row r="109" spans="1:6" ht="31" thickBot="1">
      <c r="A109" s="850" t="s">
        <v>523</v>
      </c>
      <c r="B109" s="846" t="s">
        <v>893</v>
      </c>
      <c r="C109" s="1074"/>
      <c r="D109" s="1074"/>
      <c r="E109" s="1074"/>
      <c r="F109" s="1067">
        <v>0.05</v>
      </c>
    </row>
    <row r="110" spans="1:6" ht="16" thickBot="1">
      <c r="A110" s="840" t="s">
        <v>56</v>
      </c>
      <c r="B110" s="841" t="s">
        <v>894</v>
      </c>
      <c r="C110" s="1062">
        <v>0.129</v>
      </c>
      <c r="D110" s="1062">
        <v>0.129</v>
      </c>
      <c r="E110" s="1062">
        <v>0.126</v>
      </c>
      <c r="F110" s="1063">
        <v>0.13</v>
      </c>
    </row>
    <row r="111" spans="1:6" ht="16" thickBot="1">
      <c r="A111" s="840" t="s">
        <v>56</v>
      </c>
      <c r="B111" s="834" t="s">
        <v>192</v>
      </c>
      <c r="C111" s="1064">
        <v>0.11</v>
      </c>
      <c r="D111" s="1064">
        <v>0.11</v>
      </c>
      <c r="E111" s="1064">
        <v>9.9000000000000005E-2</v>
      </c>
      <c r="F111" s="1065">
        <v>0.128</v>
      </c>
    </row>
    <row r="112" spans="1:6" ht="16" thickBot="1">
      <c r="A112" s="840" t="s">
        <v>56</v>
      </c>
      <c r="B112" s="834" t="s">
        <v>205</v>
      </c>
      <c r="C112" s="1064">
        <v>0.125</v>
      </c>
      <c r="D112" s="1064">
        <v>0.125</v>
      </c>
      <c r="E112" s="1064">
        <v>0.12</v>
      </c>
      <c r="F112" s="1065">
        <v>0.125</v>
      </c>
    </row>
    <row r="113" spans="1:6" ht="16" thickBot="1">
      <c r="A113" s="840" t="s">
        <v>56</v>
      </c>
      <c r="B113" s="834" t="s">
        <v>218</v>
      </c>
      <c r="C113" s="1064">
        <v>0.13</v>
      </c>
      <c r="D113" s="1064">
        <v>0.13</v>
      </c>
      <c r="E113" s="1064">
        <v>0.13</v>
      </c>
      <c r="F113" s="1065">
        <v>0.13</v>
      </c>
    </row>
    <row r="114" spans="1:6" ht="16" thickBot="1">
      <c r="A114" s="840" t="s">
        <v>56</v>
      </c>
      <c r="B114" s="834" t="s">
        <v>230</v>
      </c>
      <c r="C114" s="1064">
        <v>0.123</v>
      </c>
      <c r="D114" s="1064">
        <v>0.123</v>
      </c>
      <c r="E114" s="1064">
        <v>0.12</v>
      </c>
      <c r="F114" s="1065">
        <v>0.13</v>
      </c>
    </row>
    <row r="115" spans="1:6" ht="16" thickBot="1">
      <c r="A115" s="840" t="s">
        <v>56</v>
      </c>
      <c r="B115" s="834" t="s">
        <v>241</v>
      </c>
      <c r="C115" s="1064">
        <v>0.125</v>
      </c>
      <c r="D115" s="1064">
        <v>0.125</v>
      </c>
      <c r="E115" s="1064">
        <v>0.11700000000000001</v>
      </c>
      <c r="F115" s="1065">
        <v>0.13</v>
      </c>
    </row>
    <row r="116" spans="1:6" ht="16" thickBot="1">
      <c r="A116" s="840" t="s">
        <v>56</v>
      </c>
      <c r="B116" s="834" t="s">
        <v>252</v>
      </c>
      <c r="C116" s="1064">
        <v>0.11700000000000001</v>
      </c>
      <c r="D116" s="1064">
        <v>0.11700000000000001</v>
      </c>
      <c r="E116" s="1064">
        <v>8.7999999999999995E-2</v>
      </c>
      <c r="F116" s="1065">
        <v>0.13</v>
      </c>
    </row>
    <row r="117" spans="1:6" ht="16" thickBot="1">
      <c r="A117" s="840" t="s">
        <v>56</v>
      </c>
      <c r="B117" s="834" t="s">
        <v>263</v>
      </c>
      <c r="C117" s="1064">
        <v>0.13</v>
      </c>
      <c r="D117" s="1064">
        <v>0.13</v>
      </c>
      <c r="E117" s="1064">
        <v>0.129</v>
      </c>
      <c r="F117" s="1065">
        <v>0.13</v>
      </c>
    </row>
    <row r="118" spans="1:6" ht="16" thickBot="1">
      <c r="A118" s="840" t="s">
        <v>56</v>
      </c>
      <c r="B118" s="834" t="s">
        <v>275</v>
      </c>
      <c r="C118" s="1064">
        <v>0.123</v>
      </c>
      <c r="D118" s="1064">
        <v>0.123</v>
      </c>
      <c r="E118" s="1064">
        <v>0.11600000000000001</v>
      </c>
      <c r="F118" s="1065">
        <v>0.13</v>
      </c>
    </row>
    <row r="119" spans="1:6" ht="16" thickBot="1">
      <c r="A119" s="840" t="s">
        <v>56</v>
      </c>
      <c r="B119" s="834" t="s">
        <v>285</v>
      </c>
      <c r="C119" s="1064">
        <v>0.127</v>
      </c>
      <c r="D119" s="1064">
        <v>0.127</v>
      </c>
      <c r="E119" s="1064">
        <v>0.124</v>
      </c>
      <c r="F119" s="1065">
        <v>0.13</v>
      </c>
    </row>
    <row r="120" spans="1:6" ht="16" thickBot="1">
      <c r="A120" s="840" t="s">
        <v>56</v>
      </c>
      <c r="B120" s="834" t="s">
        <v>295</v>
      </c>
      <c r="C120" s="1064">
        <v>0.125</v>
      </c>
      <c r="D120" s="1064">
        <v>0.125</v>
      </c>
      <c r="E120" s="1064">
        <v>0.122</v>
      </c>
      <c r="F120" s="1065">
        <v>0.13</v>
      </c>
    </row>
    <row r="121" spans="1:6" ht="16" thickBot="1">
      <c r="A121" s="840" t="s">
        <v>56</v>
      </c>
      <c r="B121" s="834" t="s">
        <v>305</v>
      </c>
      <c r="C121" s="1064">
        <v>0.13</v>
      </c>
      <c r="D121" s="1064">
        <v>0.13</v>
      </c>
      <c r="E121" s="1064">
        <v>0.13</v>
      </c>
      <c r="F121" s="1065">
        <v>0.13</v>
      </c>
    </row>
    <row r="122" spans="1:6" ht="16" thickBot="1">
      <c r="A122" s="840" t="s">
        <v>56</v>
      </c>
      <c r="B122" s="834" t="s">
        <v>315</v>
      </c>
      <c r="C122" s="1064">
        <v>0.13</v>
      </c>
      <c r="D122" s="1064">
        <v>0.13</v>
      </c>
      <c r="E122" s="1064">
        <v>0.125</v>
      </c>
      <c r="F122" s="1065">
        <v>0.13</v>
      </c>
    </row>
    <row r="123" spans="1:6" ht="16" thickBot="1">
      <c r="A123" s="840" t="s">
        <v>56</v>
      </c>
      <c r="B123" s="834" t="s">
        <v>326</v>
      </c>
      <c r="C123" s="1064">
        <v>0.129</v>
      </c>
      <c r="D123" s="1064">
        <v>0.129</v>
      </c>
      <c r="E123" s="1064">
        <v>0.123</v>
      </c>
      <c r="F123" s="1065">
        <v>0.13</v>
      </c>
    </row>
    <row r="124" spans="1:6" ht="16" thickBot="1">
      <c r="A124" s="840" t="s">
        <v>56</v>
      </c>
      <c r="B124" s="834" t="s">
        <v>337</v>
      </c>
      <c r="C124" s="1064">
        <v>0.10199999999999999</v>
      </c>
      <c r="D124" s="1064">
        <v>0.10100000000000001</v>
      </c>
      <c r="E124" s="1064">
        <v>0.08</v>
      </c>
      <c r="F124" s="1076"/>
    </row>
    <row r="125" spans="1:6" ht="16" thickBot="1">
      <c r="A125" s="840" t="s">
        <v>56</v>
      </c>
      <c r="B125" s="834" t="s">
        <v>347</v>
      </c>
      <c r="C125" s="1064">
        <v>0.13</v>
      </c>
      <c r="D125" s="1064">
        <v>0.13</v>
      </c>
      <c r="E125" s="1064">
        <v>0.129</v>
      </c>
      <c r="F125" s="1076"/>
    </row>
    <row r="126" spans="1:6" ht="16" thickBot="1">
      <c r="A126" s="840" t="s">
        <v>56</v>
      </c>
      <c r="B126" s="834" t="s">
        <v>357</v>
      </c>
      <c r="C126" s="1064">
        <v>0.13</v>
      </c>
      <c r="D126" s="1064">
        <v>0.13</v>
      </c>
      <c r="E126" s="1064">
        <v>0.126</v>
      </c>
      <c r="F126" s="1076"/>
    </row>
    <row r="127" spans="1:6" ht="16" thickBot="1">
      <c r="A127" s="840" t="s">
        <v>56</v>
      </c>
      <c r="B127" s="834" t="s">
        <v>367</v>
      </c>
      <c r="C127" s="1064">
        <v>0.125</v>
      </c>
      <c r="D127" s="1064">
        <v>0.125</v>
      </c>
      <c r="E127" s="1064">
        <v>0.121</v>
      </c>
      <c r="F127" s="1076"/>
    </row>
    <row r="128" spans="1:6" ht="16" thickBot="1">
      <c r="A128" s="840" t="s">
        <v>56</v>
      </c>
      <c r="B128" s="834" t="s">
        <v>377</v>
      </c>
      <c r="C128" s="1064">
        <v>0.12</v>
      </c>
      <c r="D128" s="1064">
        <v>0.12</v>
      </c>
      <c r="E128" s="1064">
        <v>0.105</v>
      </c>
      <c r="F128" s="1076"/>
    </row>
    <row r="129" spans="1:6" ht="16" thickBot="1">
      <c r="A129" s="840" t="s">
        <v>56</v>
      </c>
      <c r="B129" s="834" t="s">
        <v>386</v>
      </c>
      <c r="C129" s="1064">
        <v>0.13</v>
      </c>
      <c r="D129" s="1064">
        <v>0.13</v>
      </c>
      <c r="E129" s="1064">
        <v>0.126</v>
      </c>
      <c r="F129" s="1076"/>
    </row>
    <row r="130" spans="1:6" ht="16" thickBot="1">
      <c r="A130" s="840" t="s">
        <v>56</v>
      </c>
      <c r="B130" s="834" t="s">
        <v>395</v>
      </c>
      <c r="C130" s="1064">
        <v>0.125</v>
      </c>
      <c r="D130" s="1064">
        <v>0.125</v>
      </c>
      <c r="E130" s="1064">
        <v>0.122</v>
      </c>
      <c r="F130" s="1076"/>
    </row>
    <row r="131" spans="1:6" ht="16" thickBot="1">
      <c r="A131" s="840" t="s">
        <v>56</v>
      </c>
      <c r="B131" s="834" t="s">
        <v>403</v>
      </c>
      <c r="C131" s="1064">
        <v>0.127</v>
      </c>
      <c r="D131" s="1064">
        <v>0.126</v>
      </c>
      <c r="E131" s="1064">
        <v>0.123</v>
      </c>
      <c r="F131" s="1076"/>
    </row>
    <row r="132" spans="1:6" ht="16" thickBot="1">
      <c r="A132" s="840" t="s">
        <v>56</v>
      </c>
      <c r="B132" s="834" t="s">
        <v>410</v>
      </c>
      <c r="C132" s="1064">
        <v>9.0999999999999998E-2</v>
      </c>
      <c r="D132" s="1064">
        <v>0.121</v>
      </c>
      <c r="E132" s="1064">
        <v>9.9000000000000005E-2</v>
      </c>
      <c r="F132" s="1076"/>
    </row>
    <row r="133" spans="1:6" ht="16" thickBot="1">
      <c r="A133" s="840" t="s">
        <v>56</v>
      </c>
      <c r="B133" s="834" t="s">
        <v>417</v>
      </c>
      <c r="C133" s="1064">
        <v>0.13</v>
      </c>
      <c r="D133" s="1064">
        <v>0.13</v>
      </c>
      <c r="E133" s="1064">
        <v>0.129</v>
      </c>
      <c r="F133" s="1076"/>
    </row>
    <row r="134" spans="1:6" ht="16" thickBot="1">
      <c r="A134" s="840" t="s">
        <v>56</v>
      </c>
      <c r="B134" s="834" t="s">
        <v>895</v>
      </c>
      <c r="C134" s="1064">
        <v>6.8000000000000005E-2</v>
      </c>
      <c r="D134" s="1064">
        <v>6.5000000000000002E-2</v>
      </c>
      <c r="E134" s="1064">
        <v>6.5000000000000002E-2</v>
      </c>
      <c r="F134" s="1065">
        <v>0.13</v>
      </c>
    </row>
    <row r="135" spans="1:6" ht="16" thickBot="1">
      <c r="A135" s="840" t="s">
        <v>56</v>
      </c>
      <c r="B135" s="834" t="s">
        <v>431</v>
      </c>
      <c r="C135" s="1064">
        <v>0.123</v>
      </c>
      <c r="D135" s="1064">
        <v>0.123</v>
      </c>
      <c r="E135" s="1064">
        <v>0.11</v>
      </c>
      <c r="F135" s="1076"/>
    </row>
    <row r="136" spans="1:6" ht="16" thickBot="1">
      <c r="A136" s="840" t="s">
        <v>56</v>
      </c>
      <c r="B136" s="834" t="s">
        <v>438</v>
      </c>
      <c r="C136" s="1064">
        <v>0.13</v>
      </c>
      <c r="D136" s="1064">
        <v>0.13</v>
      </c>
      <c r="E136" s="1064">
        <v>0.125</v>
      </c>
      <c r="F136" s="1076"/>
    </row>
    <row r="137" spans="1:6" ht="16" thickBot="1">
      <c r="A137" s="840" t="s">
        <v>56</v>
      </c>
      <c r="B137" s="834" t="s">
        <v>445</v>
      </c>
      <c r="C137" s="1064">
        <v>0.121</v>
      </c>
      <c r="D137" s="1064">
        <v>0.122</v>
      </c>
      <c r="E137" s="1064">
        <v>0.115</v>
      </c>
      <c r="F137" s="1076"/>
    </row>
    <row r="138" spans="1:6" ht="16" thickBot="1">
      <c r="A138" s="840" t="s">
        <v>56</v>
      </c>
      <c r="B138" s="834" t="s">
        <v>896</v>
      </c>
      <c r="C138" s="1064">
        <v>0.105</v>
      </c>
      <c r="D138" s="1064">
        <v>0.125</v>
      </c>
      <c r="E138" s="1064">
        <v>0.112</v>
      </c>
      <c r="F138" s="1076"/>
    </row>
    <row r="139" spans="1:6" ht="16" thickBot="1">
      <c r="A139" s="840" t="s">
        <v>56</v>
      </c>
      <c r="B139" s="834" t="s">
        <v>897</v>
      </c>
      <c r="C139" s="1064">
        <v>0.127</v>
      </c>
      <c r="D139" s="1064">
        <v>0.127</v>
      </c>
      <c r="E139" s="1064">
        <v>0.122</v>
      </c>
      <c r="F139" s="1065">
        <v>0.13</v>
      </c>
    </row>
    <row r="140" spans="1:6" ht="16" thickBot="1">
      <c r="A140" s="840" t="s">
        <v>56</v>
      </c>
      <c r="B140" s="834" t="s">
        <v>898</v>
      </c>
      <c r="C140" s="1064">
        <v>0.125</v>
      </c>
      <c r="D140" s="1064">
        <v>0.125</v>
      </c>
      <c r="E140" s="1064">
        <v>0.11899999999999999</v>
      </c>
      <c r="F140" s="1065">
        <v>0.13</v>
      </c>
    </row>
    <row r="141" spans="1:6" ht="16" thickBot="1">
      <c r="A141" s="840" t="s">
        <v>56</v>
      </c>
      <c r="B141" s="834" t="s">
        <v>464</v>
      </c>
      <c r="C141" s="1064">
        <v>0.125</v>
      </c>
      <c r="D141" s="1064">
        <v>0.125</v>
      </c>
      <c r="E141" s="1064">
        <v>0.11700000000000001</v>
      </c>
      <c r="F141" s="1076"/>
    </row>
    <row r="142" spans="1:6" ht="16" thickBot="1">
      <c r="A142" s="840" t="s">
        <v>56</v>
      </c>
      <c r="B142" s="834" t="s">
        <v>469</v>
      </c>
      <c r="C142" s="1064">
        <v>0.125</v>
      </c>
      <c r="D142" s="1064">
        <v>0.125</v>
      </c>
      <c r="E142" s="1064">
        <v>0.115</v>
      </c>
      <c r="F142" s="1076"/>
    </row>
    <row r="143" spans="1:6" ht="16" thickBot="1">
      <c r="A143" s="840" t="s">
        <v>56</v>
      </c>
      <c r="B143" s="834" t="s">
        <v>474</v>
      </c>
      <c r="C143" s="1064">
        <v>0.121</v>
      </c>
      <c r="D143" s="1064">
        <v>0.121</v>
      </c>
      <c r="E143" s="1064">
        <v>0.108</v>
      </c>
      <c r="F143" s="1076"/>
    </row>
    <row r="144" spans="1:6" ht="16" thickBot="1">
      <c r="A144" s="840" t="s">
        <v>56</v>
      </c>
      <c r="B144" s="1068" t="s">
        <v>899</v>
      </c>
      <c r="C144" s="1069">
        <v>0.126</v>
      </c>
      <c r="D144" s="1069">
        <v>0.126</v>
      </c>
      <c r="E144" s="1069">
        <v>0.121</v>
      </c>
      <c r="F144" s="1076"/>
    </row>
    <row r="145" spans="1:6" ht="16" thickBot="1">
      <c r="A145" s="850" t="s">
        <v>56</v>
      </c>
      <c r="B145" s="1070" t="s">
        <v>900</v>
      </c>
      <c r="C145" s="1078"/>
      <c r="D145" s="1078"/>
      <c r="E145" s="1078"/>
      <c r="F145" s="1071">
        <v>0.05</v>
      </c>
    </row>
    <row r="146" spans="1:6" ht="31" thickBot="1">
      <c r="A146" s="1072" t="s">
        <v>56</v>
      </c>
      <c r="B146" s="844" t="s">
        <v>901</v>
      </c>
      <c r="C146" s="1077"/>
      <c r="D146" s="1077"/>
      <c r="E146" s="1077"/>
      <c r="F146" s="1073">
        <v>0.05</v>
      </c>
    </row>
    <row r="147" spans="1:6" ht="31" thickBot="1">
      <c r="A147" s="840" t="s">
        <v>56</v>
      </c>
      <c r="B147" s="834" t="s">
        <v>902</v>
      </c>
      <c r="C147" s="1077"/>
      <c r="D147" s="1077"/>
      <c r="E147" s="1077"/>
      <c r="F147" s="1065">
        <v>0.05</v>
      </c>
    </row>
    <row r="148" spans="1:6" ht="31" thickBot="1">
      <c r="A148" s="840" t="s">
        <v>56</v>
      </c>
      <c r="B148" s="834" t="s">
        <v>903</v>
      </c>
      <c r="C148" s="1077"/>
      <c r="D148" s="1077"/>
      <c r="E148" s="1077"/>
      <c r="F148" s="1065">
        <v>0.05</v>
      </c>
    </row>
    <row r="149" spans="1:6" ht="31" thickBot="1">
      <c r="A149" s="840" t="s">
        <v>56</v>
      </c>
      <c r="B149" s="834" t="s">
        <v>904</v>
      </c>
      <c r="C149" s="1077"/>
      <c r="D149" s="1077"/>
      <c r="E149" s="1077"/>
      <c r="F149" s="1065">
        <v>0.05</v>
      </c>
    </row>
    <row r="150" spans="1:6" ht="31" thickBot="1">
      <c r="A150" s="840" t="s">
        <v>56</v>
      </c>
      <c r="B150" s="834" t="s">
        <v>905</v>
      </c>
      <c r="C150" s="1077"/>
      <c r="D150" s="1077"/>
      <c r="E150" s="1077"/>
      <c r="F150" s="1065">
        <v>0.05</v>
      </c>
    </row>
    <row r="151" spans="1:6" ht="31" thickBot="1">
      <c r="A151" s="840" t="s">
        <v>56</v>
      </c>
      <c r="B151" s="834" t="s">
        <v>906</v>
      </c>
      <c r="C151" s="1077"/>
      <c r="D151" s="1077"/>
      <c r="E151" s="1077"/>
      <c r="F151" s="1065">
        <v>0.05</v>
      </c>
    </row>
    <row r="152" spans="1:6" ht="31" thickBot="1">
      <c r="A152" s="840" t="s">
        <v>56</v>
      </c>
      <c r="B152" s="834" t="s">
        <v>507</v>
      </c>
      <c r="C152" s="1077"/>
      <c r="D152" s="1077"/>
      <c r="E152" s="1077"/>
      <c r="F152" s="1065">
        <v>0.05</v>
      </c>
    </row>
    <row r="153" spans="1:6" ht="16" thickBot="1">
      <c r="A153" s="840" t="s">
        <v>56</v>
      </c>
      <c r="B153" s="834" t="s">
        <v>907</v>
      </c>
      <c r="C153" s="1077"/>
      <c r="D153" s="1077"/>
      <c r="E153" s="1077"/>
      <c r="F153" s="1065">
        <v>0.05</v>
      </c>
    </row>
    <row r="154" spans="1:6" ht="16" thickBot="1">
      <c r="A154" s="840" t="s">
        <v>56</v>
      </c>
      <c r="B154" s="834" t="s">
        <v>908</v>
      </c>
      <c r="C154" s="1077"/>
      <c r="D154" s="1077"/>
      <c r="E154" s="1077"/>
      <c r="F154" s="1065">
        <v>0.05</v>
      </c>
    </row>
    <row r="155" spans="1:6" ht="31" thickBot="1">
      <c r="A155" s="840" t="s">
        <v>56</v>
      </c>
      <c r="B155" s="834" t="s">
        <v>909</v>
      </c>
      <c r="C155" s="1077"/>
      <c r="D155" s="1077"/>
      <c r="E155" s="1077"/>
      <c r="F155" s="1065">
        <v>0.05</v>
      </c>
    </row>
    <row r="156" spans="1:6" ht="31" thickBot="1">
      <c r="A156" s="840" t="s">
        <v>56</v>
      </c>
      <c r="B156" s="834" t="s">
        <v>910</v>
      </c>
      <c r="C156" s="1077"/>
      <c r="D156" s="1077"/>
      <c r="E156" s="1077"/>
      <c r="F156" s="1065">
        <v>0.05</v>
      </c>
    </row>
    <row r="157" spans="1:6" ht="16" thickBot="1">
      <c r="A157" s="850" t="s">
        <v>56</v>
      </c>
      <c r="B157" s="846" t="s">
        <v>911</v>
      </c>
      <c r="C157" s="1074"/>
      <c r="D157" s="1074"/>
      <c r="E157" s="1074"/>
      <c r="F157" s="1067">
        <v>0.05</v>
      </c>
    </row>
    <row r="158" spans="1:6" ht="16" thickBot="1">
      <c r="A158" s="840" t="s">
        <v>526</v>
      </c>
      <c r="B158" s="841" t="s">
        <v>912</v>
      </c>
      <c r="C158" s="1062">
        <v>0.13</v>
      </c>
      <c r="D158" s="1062">
        <v>0.13</v>
      </c>
      <c r="E158" s="1062">
        <v>0.13</v>
      </c>
      <c r="F158" s="1063">
        <v>0.13</v>
      </c>
    </row>
    <row r="159" spans="1:6" ht="16" thickBot="1">
      <c r="A159" s="840" t="s">
        <v>526</v>
      </c>
      <c r="B159" s="834" t="s">
        <v>193</v>
      </c>
      <c r="C159" s="1064">
        <v>0.13</v>
      </c>
      <c r="D159" s="1064">
        <v>0.13</v>
      </c>
      <c r="E159" s="1064">
        <v>0.13</v>
      </c>
      <c r="F159" s="1065">
        <v>0.13</v>
      </c>
    </row>
    <row r="160" spans="1:6" ht="16" thickBot="1">
      <c r="A160" s="840" t="s">
        <v>526</v>
      </c>
      <c r="B160" s="834" t="s">
        <v>206</v>
      </c>
      <c r="C160" s="1064">
        <v>0.13</v>
      </c>
      <c r="D160" s="1064">
        <v>0.13</v>
      </c>
      <c r="E160" s="1064">
        <v>0.129</v>
      </c>
      <c r="F160" s="1065">
        <v>0.13</v>
      </c>
    </row>
    <row r="161" spans="1:6" ht="16" thickBot="1">
      <c r="A161" s="840" t="s">
        <v>526</v>
      </c>
      <c r="B161" s="834" t="s">
        <v>219</v>
      </c>
      <c r="C161" s="1064">
        <v>0.128</v>
      </c>
      <c r="D161" s="1064">
        <v>0.128</v>
      </c>
      <c r="E161" s="1064">
        <v>0.125</v>
      </c>
      <c r="F161" s="1065">
        <v>0.13</v>
      </c>
    </row>
    <row r="162" spans="1:6" ht="16" thickBot="1">
      <c r="A162" s="840" t="s">
        <v>526</v>
      </c>
      <c r="B162" s="834" t="s">
        <v>231</v>
      </c>
      <c r="C162" s="1064">
        <v>0.122</v>
      </c>
      <c r="D162" s="1064">
        <v>0.122</v>
      </c>
      <c r="E162" s="1064">
        <v>0.126</v>
      </c>
      <c r="F162" s="1065">
        <v>0.122</v>
      </c>
    </row>
    <row r="163" spans="1:6" ht="16" thickBot="1">
      <c r="A163" s="840" t="s">
        <v>526</v>
      </c>
      <c r="B163" s="834" t="s">
        <v>242</v>
      </c>
      <c r="C163" s="1064">
        <v>0.13</v>
      </c>
      <c r="D163" s="1064">
        <v>0.13</v>
      </c>
      <c r="E163" s="1064">
        <v>0.125</v>
      </c>
      <c r="F163" s="1065">
        <v>0.13</v>
      </c>
    </row>
    <row r="164" spans="1:6" ht="16" thickBot="1">
      <c r="A164" s="840" t="s">
        <v>526</v>
      </c>
      <c r="B164" s="834" t="s">
        <v>253</v>
      </c>
      <c r="C164" s="1064">
        <v>0.13</v>
      </c>
      <c r="D164" s="1064">
        <v>0.13</v>
      </c>
      <c r="E164" s="1064">
        <v>0.13</v>
      </c>
      <c r="F164" s="1065">
        <v>0.13</v>
      </c>
    </row>
    <row r="165" spans="1:6" ht="16" thickBot="1">
      <c r="A165" s="840" t="s">
        <v>526</v>
      </c>
      <c r="B165" s="834" t="s">
        <v>264</v>
      </c>
      <c r="C165" s="1064">
        <v>0.13</v>
      </c>
      <c r="D165" s="1064">
        <v>0.13</v>
      </c>
      <c r="E165" s="1064">
        <v>0.124</v>
      </c>
      <c r="F165" s="1065">
        <v>0.13</v>
      </c>
    </row>
    <row r="166" spans="1:6" ht="16" thickBot="1">
      <c r="A166" s="840" t="s">
        <v>526</v>
      </c>
      <c r="B166" s="834" t="s">
        <v>276</v>
      </c>
      <c r="C166" s="1064">
        <v>0.13</v>
      </c>
      <c r="D166" s="1064">
        <v>0.13</v>
      </c>
      <c r="E166" s="1064">
        <v>0.13</v>
      </c>
      <c r="F166" s="1065">
        <v>0.13</v>
      </c>
    </row>
    <row r="167" spans="1:6" ht="16" thickBot="1">
      <c r="A167" s="840" t="s">
        <v>526</v>
      </c>
      <c r="B167" s="834" t="s">
        <v>286</v>
      </c>
      <c r="C167" s="1064">
        <v>0.125</v>
      </c>
      <c r="D167" s="1064">
        <v>0.125</v>
      </c>
      <c r="E167" s="1064">
        <v>0.121</v>
      </c>
      <c r="F167" s="1076"/>
    </row>
    <row r="168" spans="1:6" ht="16" thickBot="1">
      <c r="A168" s="840" t="s">
        <v>526</v>
      </c>
      <c r="B168" s="834" t="s">
        <v>296</v>
      </c>
      <c r="C168" s="1064">
        <v>0.13</v>
      </c>
      <c r="D168" s="1064">
        <v>0.13</v>
      </c>
      <c r="E168" s="1064">
        <v>0.126</v>
      </c>
      <c r="F168" s="1076"/>
    </row>
    <row r="169" spans="1:6" ht="16" thickBot="1">
      <c r="A169" s="840" t="s">
        <v>526</v>
      </c>
      <c r="B169" s="834" t="s">
        <v>306</v>
      </c>
      <c r="C169" s="1064">
        <v>0.128</v>
      </c>
      <c r="D169" s="1064">
        <v>0.129</v>
      </c>
      <c r="E169" s="1064">
        <v>0.13</v>
      </c>
      <c r="F169" s="1076"/>
    </row>
    <row r="170" spans="1:6" ht="16" thickBot="1">
      <c r="A170" s="840" t="s">
        <v>526</v>
      </c>
      <c r="B170" s="834" t="s">
        <v>316</v>
      </c>
      <c r="C170" s="1064">
        <v>0.14099999999999999</v>
      </c>
      <c r="D170" s="1064">
        <v>0.13</v>
      </c>
      <c r="E170" s="1064">
        <v>0.125</v>
      </c>
      <c r="F170" s="1076"/>
    </row>
    <row r="171" spans="1:6" ht="16" thickBot="1">
      <c r="A171" s="840" t="s">
        <v>526</v>
      </c>
      <c r="B171" s="834" t="s">
        <v>913</v>
      </c>
      <c r="C171" s="1064">
        <v>0.127</v>
      </c>
      <c r="D171" s="1064">
        <v>0.126</v>
      </c>
      <c r="E171" s="1064">
        <v>0.126</v>
      </c>
      <c r="F171" s="1065">
        <v>0.11799999999999999</v>
      </c>
    </row>
    <row r="172" spans="1:6" ht="16" thickBot="1">
      <c r="A172" s="840" t="s">
        <v>526</v>
      </c>
      <c r="B172" s="834" t="s">
        <v>914</v>
      </c>
      <c r="C172" s="1064">
        <v>0.13</v>
      </c>
      <c r="D172" s="1064">
        <v>0.13</v>
      </c>
      <c r="E172" s="1064">
        <v>0.13</v>
      </c>
      <c r="F172" s="1076"/>
    </row>
    <row r="173" spans="1:6" ht="16" thickBot="1">
      <c r="A173" s="840" t="s">
        <v>526</v>
      </c>
      <c r="B173" s="834" t="s">
        <v>348</v>
      </c>
      <c r="C173" s="1064">
        <v>0.13</v>
      </c>
      <c r="D173" s="1064">
        <v>0.13</v>
      </c>
      <c r="E173" s="1064">
        <v>0.13</v>
      </c>
      <c r="F173" s="1076"/>
    </row>
    <row r="174" spans="1:6" ht="16" thickBot="1">
      <c r="A174" s="840" t="s">
        <v>526</v>
      </c>
      <c r="B174" s="834" t="s">
        <v>915</v>
      </c>
      <c r="C174" s="1064">
        <v>0.13</v>
      </c>
      <c r="D174" s="1064">
        <v>0.13</v>
      </c>
      <c r="E174" s="1064">
        <v>0.13</v>
      </c>
      <c r="F174" s="1065">
        <v>0.13</v>
      </c>
    </row>
    <row r="175" spans="1:6" ht="16" thickBot="1">
      <c r="A175" s="840" t="s">
        <v>526</v>
      </c>
      <c r="B175" s="834" t="s">
        <v>916</v>
      </c>
      <c r="C175" s="1064">
        <v>0.13</v>
      </c>
      <c r="D175" s="1064">
        <v>0.13</v>
      </c>
      <c r="E175" s="1064">
        <v>0.13</v>
      </c>
      <c r="F175" s="1065">
        <v>0.13</v>
      </c>
    </row>
    <row r="176" spans="1:6" ht="16" thickBot="1">
      <c r="A176" s="840" t="s">
        <v>526</v>
      </c>
      <c r="B176" s="834" t="s">
        <v>378</v>
      </c>
      <c r="C176" s="1064">
        <v>0.13</v>
      </c>
      <c r="D176" s="1064">
        <v>0.13</v>
      </c>
      <c r="E176" s="1064">
        <v>0.13</v>
      </c>
      <c r="F176" s="1065">
        <v>0.13</v>
      </c>
    </row>
    <row r="177" spans="1:6" ht="16" thickBot="1">
      <c r="A177" s="840" t="s">
        <v>526</v>
      </c>
      <c r="B177" s="834" t="s">
        <v>917</v>
      </c>
      <c r="C177" s="1064">
        <v>0.13</v>
      </c>
      <c r="D177" s="1064">
        <v>0.13</v>
      </c>
      <c r="E177" s="1064">
        <v>0.13</v>
      </c>
      <c r="F177" s="1065">
        <v>0.13</v>
      </c>
    </row>
    <row r="178" spans="1:6" ht="16" thickBot="1">
      <c r="A178" s="840" t="s">
        <v>526</v>
      </c>
      <c r="B178" s="834" t="s">
        <v>396</v>
      </c>
      <c r="C178" s="1064">
        <v>0.13</v>
      </c>
      <c r="D178" s="1064">
        <v>0.13</v>
      </c>
      <c r="E178" s="1064">
        <v>0.13</v>
      </c>
      <c r="F178" s="1065">
        <v>0.127</v>
      </c>
    </row>
    <row r="179" spans="1:6" ht="16" thickBot="1">
      <c r="A179" s="840" t="s">
        <v>526</v>
      </c>
      <c r="B179" s="834" t="s">
        <v>404</v>
      </c>
      <c r="C179" s="1064">
        <v>0.13</v>
      </c>
      <c r="D179" s="1064">
        <v>0.13</v>
      </c>
      <c r="E179" s="1064">
        <v>0.13</v>
      </c>
      <c r="F179" s="1076"/>
    </row>
    <row r="180" spans="1:6" ht="16" thickBot="1">
      <c r="A180" s="840" t="s">
        <v>526</v>
      </c>
      <c r="B180" s="834" t="s">
        <v>918</v>
      </c>
      <c r="C180" s="1064">
        <v>0.13</v>
      </c>
      <c r="D180" s="1064">
        <v>0.13</v>
      </c>
      <c r="E180" s="1064">
        <v>0.125</v>
      </c>
      <c r="F180" s="1065">
        <v>0.13</v>
      </c>
    </row>
    <row r="181" spans="1:6" ht="16" thickBot="1">
      <c r="A181" s="840" t="s">
        <v>526</v>
      </c>
      <c r="B181" s="834" t="s">
        <v>418</v>
      </c>
      <c r="C181" s="1064">
        <v>0.122</v>
      </c>
      <c r="D181" s="1064">
        <v>0.123</v>
      </c>
      <c r="E181" s="1064">
        <v>0.126</v>
      </c>
      <c r="F181" s="1065">
        <v>0.121</v>
      </c>
    </row>
    <row r="182" spans="1:6" ht="16" thickBot="1">
      <c r="A182" s="840" t="s">
        <v>526</v>
      </c>
      <c r="B182" s="834" t="s">
        <v>425</v>
      </c>
      <c r="C182" s="1064">
        <v>0.125</v>
      </c>
      <c r="D182" s="1064">
        <v>0.125</v>
      </c>
      <c r="E182" s="1064">
        <v>0.11700000000000001</v>
      </c>
      <c r="F182" s="1065">
        <v>0.13</v>
      </c>
    </row>
    <row r="183" spans="1:6" ht="16" thickBot="1">
      <c r="A183" s="840" t="s">
        <v>526</v>
      </c>
      <c r="B183" s="834" t="s">
        <v>432</v>
      </c>
      <c r="C183" s="1064">
        <v>0.127</v>
      </c>
      <c r="D183" s="1064">
        <v>0.127</v>
      </c>
      <c r="E183" s="1064">
        <v>0.128</v>
      </c>
      <c r="F183" s="1076"/>
    </row>
    <row r="184" spans="1:6" ht="16" thickBot="1">
      <c r="A184" s="840" t="s">
        <v>526</v>
      </c>
      <c r="B184" s="834" t="s">
        <v>439</v>
      </c>
      <c r="C184" s="1064">
        <v>0.125</v>
      </c>
      <c r="D184" s="1064">
        <v>0.125</v>
      </c>
      <c r="E184" s="1064">
        <v>0.127</v>
      </c>
      <c r="F184" s="1076"/>
    </row>
    <row r="185" spans="1:6" ht="16" thickBot="1">
      <c r="A185" s="840" t="s">
        <v>526</v>
      </c>
      <c r="B185" s="834" t="s">
        <v>919</v>
      </c>
      <c r="C185" s="1064">
        <v>0.127</v>
      </c>
      <c r="D185" s="1064">
        <v>0.127</v>
      </c>
      <c r="E185" s="1064">
        <v>0.128</v>
      </c>
      <c r="F185" s="1065">
        <v>0.13</v>
      </c>
    </row>
    <row r="186" spans="1:6" ht="31" thickBot="1">
      <c r="A186" s="840" t="s">
        <v>526</v>
      </c>
      <c r="B186" s="834" t="s">
        <v>920</v>
      </c>
      <c r="C186" s="1077"/>
      <c r="D186" s="1077"/>
      <c r="E186" s="1077"/>
      <c r="F186" s="1065">
        <v>0.05</v>
      </c>
    </row>
    <row r="187" spans="1:6" ht="16" thickBot="1">
      <c r="A187" s="840" t="s">
        <v>526</v>
      </c>
      <c r="B187" s="834" t="s">
        <v>921</v>
      </c>
      <c r="C187" s="1077"/>
      <c r="D187" s="1077"/>
      <c r="E187" s="1077"/>
      <c r="F187" s="1065">
        <v>0.05</v>
      </c>
    </row>
    <row r="188" spans="1:6" ht="16" thickBot="1">
      <c r="A188" s="840" t="s">
        <v>526</v>
      </c>
      <c r="B188" s="834" t="s">
        <v>922</v>
      </c>
      <c r="C188" s="1077"/>
      <c r="D188" s="1077"/>
      <c r="E188" s="1077"/>
      <c r="F188" s="1065">
        <v>0.05</v>
      </c>
    </row>
    <row r="189" spans="1:6" ht="31" thickBot="1">
      <c r="A189" s="840" t="s">
        <v>526</v>
      </c>
      <c r="B189" s="834" t="s">
        <v>923</v>
      </c>
      <c r="C189" s="1077"/>
      <c r="D189" s="1077"/>
      <c r="E189" s="1077"/>
      <c r="F189" s="1065">
        <v>0.05</v>
      </c>
    </row>
    <row r="190" spans="1:6" ht="31" thickBot="1">
      <c r="A190" s="840" t="s">
        <v>526</v>
      </c>
      <c r="B190" s="834" t="s">
        <v>924</v>
      </c>
      <c r="C190" s="1077"/>
      <c r="D190" s="1077"/>
      <c r="E190" s="1077"/>
      <c r="F190" s="1065">
        <v>0.05</v>
      </c>
    </row>
    <row r="191" spans="1:6" ht="31" thickBot="1">
      <c r="A191" s="840" t="s">
        <v>526</v>
      </c>
      <c r="B191" s="834" t="s">
        <v>925</v>
      </c>
      <c r="C191" s="1077"/>
      <c r="D191" s="1077"/>
      <c r="E191" s="1077"/>
      <c r="F191" s="1065">
        <v>0.05</v>
      </c>
    </row>
    <row r="192" spans="1:6" ht="31" thickBot="1">
      <c r="A192" s="840" t="s">
        <v>526</v>
      </c>
      <c r="B192" s="834" t="s">
        <v>926</v>
      </c>
      <c r="C192" s="1077"/>
      <c r="D192" s="1077"/>
      <c r="E192" s="1077"/>
      <c r="F192" s="1065">
        <v>0.05</v>
      </c>
    </row>
    <row r="193" spans="1:6" ht="31" thickBot="1">
      <c r="A193" s="840" t="s">
        <v>526</v>
      </c>
      <c r="B193" s="834" t="s">
        <v>927</v>
      </c>
      <c r="C193" s="1077"/>
      <c r="D193" s="1077"/>
      <c r="E193" s="1077"/>
      <c r="F193" s="1065">
        <v>0.05</v>
      </c>
    </row>
    <row r="194" spans="1:6" ht="31" thickBot="1">
      <c r="A194" s="840" t="s">
        <v>526</v>
      </c>
      <c r="B194" s="834" t="s">
        <v>928</v>
      </c>
      <c r="C194" s="1077"/>
      <c r="D194" s="1077"/>
      <c r="E194" s="1077"/>
      <c r="F194" s="1065">
        <v>0.05</v>
      </c>
    </row>
    <row r="195" spans="1:6" ht="16" thickBot="1">
      <c r="A195" s="840" t="s">
        <v>526</v>
      </c>
      <c r="B195" s="834" t="s">
        <v>929</v>
      </c>
      <c r="C195" s="1077"/>
      <c r="D195" s="1077"/>
      <c r="E195" s="1077"/>
      <c r="F195" s="1065">
        <v>0.05</v>
      </c>
    </row>
    <row r="196" spans="1:6" ht="31" thickBot="1">
      <c r="A196" s="840" t="s">
        <v>526</v>
      </c>
      <c r="B196" s="834" t="s">
        <v>930</v>
      </c>
      <c r="C196" s="1077"/>
      <c r="D196" s="1077"/>
      <c r="E196" s="1077"/>
      <c r="F196" s="1065">
        <v>0.05</v>
      </c>
    </row>
    <row r="197" spans="1:6" ht="31" thickBot="1">
      <c r="A197" s="840" t="s">
        <v>526</v>
      </c>
      <c r="B197" s="834" t="s">
        <v>931</v>
      </c>
      <c r="C197" s="1077"/>
      <c r="D197" s="1077"/>
      <c r="E197" s="1077"/>
      <c r="F197" s="1065">
        <v>0.05</v>
      </c>
    </row>
    <row r="198" spans="1:6" ht="31" thickBot="1">
      <c r="A198" s="840" t="s">
        <v>526</v>
      </c>
      <c r="B198" s="834" t="s">
        <v>932</v>
      </c>
      <c r="C198" s="1077"/>
      <c r="D198" s="1077"/>
      <c r="E198" s="1077"/>
      <c r="F198" s="1065">
        <v>0.05</v>
      </c>
    </row>
    <row r="199" spans="1:6" ht="31" thickBot="1">
      <c r="A199" s="840" t="s">
        <v>526</v>
      </c>
      <c r="B199" s="834" t="s">
        <v>933</v>
      </c>
      <c r="C199" s="1077"/>
      <c r="D199" s="1077"/>
      <c r="E199" s="1077"/>
      <c r="F199" s="1065">
        <v>0.05</v>
      </c>
    </row>
    <row r="200" spans="1:6" ht="31" thickBot="1">
      <c r="A200" s="840" t="s">
        <v>526</v>
      </c>
      <c r="B200" s="834" t="s">
        <v>934</v>
      </c>
      <c r="C200" s="1077"/>
      <c r="D200" s="1077"/>
      <c r="E200" s="1077"/>
      <c r="F200" s="1065">
        <v>0.05</v>
      </c>
    </row>
    <row r="201" spans="1:6" ht="31" thickBot="1">
      <c r="A201" s="840" t="s">
        <v>526</v>
      </c>
      <c r="B201" s="834" t="s">
        <v>935</v>
      </c>
      <c r="C201" s="1077"/>
      <c r="D201" s="1077"/>
      <c r="E201" s="1077"/>
      <c r="F201" s="1065">
        <v>0.05</v>
      </c>
    </row>
    <row r="202" spans="1:6" ht="31" thickBot="1">
      <c r="A202" s="840" t="s">
        <v>526</v>
      </c>
      <c r="B202" s="834" t="s">
        <v>936</v>
      </c>
      <c r="C202" s="1077"/>
      <c r="D202" s="1077"/>
      <c r="E202" s="1077"/>
      <c r="F202" s="1065">
        <v>0.05</v>
      </c>
    </row>
    <row r="203" spans="1:6" ht="31" thickBot="1">
      <c r="A203" s="840" t="s">
        <v>526</v>
      </c>
      <c r="B203" s="834" t="s">
        <v>937</v>
      </c>
      <c r="C203" s="1077"/>
      <c r="D203" s="1077"/>
      <c r="E203" s="1077"/>
      <c r="F203" s="1065">
        <v>0.05</v>
      </c>
    </row>
    <row r="204" spans="1:6" ht="16" thickBot="1">
      <c r="A204" s="840" t="s">
        <v>526</v>
      </c>
      <c r="B204" s="834" t="s">
        <v>938</v>
      </c>
      <c r="C204" s="1077"/>
      <c r="D204" s="1077"/>
      <c r="E204" s="1077"/>
      <c r="F204" s="1065">
        <v>0.05</v>
      </c>
    </row>
    <row r="205" spans="1:6" ht="16" thickBot="1">
      <c r="A205" s="850" t="s">
        <v>526</v>
      </c>
      <c r="B205" s="846" t="s">
        <v>939</v>
      </c>
      <c r="C205" s="1074"/>
      <c r="D205" s="1074"/>
      <c r="E205" s="1074"/>
      <c r="F205" s="1067">
        <v>0.05</v>
      </c>
    </row>
    <row r="206" spans="1:6" ht="16" thickBot="1">
      <c r="A206" s="840" t="s">
        <v>528</v>
      </c>
      <c r="B206" s="841" t="s">
        <v>940</v>
      </c>
      <c r="C206" s="1062">
        <v>0.15</v>
      </c>
      <c r="D206" s="1062">
        <v>0.15</v>
      </c>
      <c r="E206" s="1062">
        <v>0.15</v>
      </c>
      <c r="F206" s="1063">
        <v>0.15</v>
      </c>
    </row>
    <row r="207" spans="1:6" ht="16" thickBot="1">
      <c r="A207" s="840" t="s">
        <v>528</v>
      </c>
      <c r="B207" s="834" t="s">
        <v>194</v>
      </c>
      <c r="C207" s="1064">
        <v>0.15</v>
      </c>
      <c r="D207" s="1064">
        <v>0.15</v>
      </c>
      <c r="E207" s="1064">
        <v>0.15</v>
      </c>
      <c r="F207" s="1065">
        <v>0.14399999999999999</v>
      </c>
    </row>
    <row r="208" spans="1:6" ht="16" thickBot="1">
      <c r="A208" s="840" t="s">
        <v>528</v>
      </c>
      <c r="B208" s="834" t="s">
        <v>207</v>
      </c>
      <c r="C208" s="1064">
        <v>0.15</v>
      </c>
      <c r="D208" s="1064">
        <v>0.15</v>
      </c>
      <c r="E208" s="1064">
        <v>0.15</v>
      </c>
      <c r="F208" s="1065">
        <v>0.15</v>
      </c>
    </row>
    <row r="209" spans="1:6" ht="16" thickBot="1">
      <c r="A209" s="840" t="s">
        <v>528</v>
      </c>
      <c r="B209" s="834" t="s">
        <v>220</v>
      </c>
      <c r="C209" s="1064">
        <v>0.13700000000000001</v>
      </c>
      <c r="D209" s="1064">
        <v>0.13700000000000001</v>
      </c>
      <c r="E209" s="1064">
        <v>0.14000000000000001</v>
      </c>
      <c r="F209" s="1065">
        <v>0.11700000000000001</v>
      </c>
    </row>
    <row r="210" spans="1:6" ht="16" thickBot="1">
      <c r="A210" s="840" t="s">
        <v>528</v>
      </c>
      <c r="B210" s="834" t="s">
        <v>941</v>
      </c>
      <c r="C210" s="1064">
        <v>0.15</v>
      </c>
      <c r="D210" s="1064">
        <v>0.15</v>
      </c>
      <c r="E210" s="1064">
        <v>0.15</v>
      </c>
      <c r="F210" s="1065">
        <v>0.13800000000000001</v>
      </c>
    </row>
    <row r="211" spans="1:6" ht="16" thickBot="1">
      <c r="A211" s="840" t="s">
        <v>528</v>
      </c>
      <c r="B211" s="834" t="s">
        <v>942</v>
      </c>
      <c r="C211" s="1064">
        <v>0.13700000000000001</v>
      </c>
      <c r="D211" s="1064">
        <v>0.13500000000000001</v>
      </c>
      <c r="E211" s="1064">
        <v>0.13600000000000001</v>
      </c>
      <c r="F211" s="1065">
        <v>0.1</v>
      </c>
    </row>
    <row r="212" spans="1:6" ht="16" thickBot="1">
      <c r="A212" s="840" t="s">
        <v>528</v>
      </c>
      <c r="B212" s="834" t="s">
        <v>943</v>
      </c>
      <c r="C212" s="1064">
        <v>0.15</v>
      </c>
      <c r="D212" s="1064">
        <v>0.15</v>
      </c>
      <c r="E212" s="1064">
        <v>0.14799999999999999</v>
      </c>
      <c r="F212" s="1065">
        <v>0.13600000000000001</v>
      </c>
    </row>
    <row r="213" spans="1:6" ht="16" thickBot="1">
      <c r="A213" s="840" t="s">
        <v>528</v>
      </c>
      <c r="B213" s="834" t="s">
        <v>265</v>
      </c>
      <c r="C213" s="1064">
        <v>0.15</v>
      </c>
      <c r="D213" s="1064">
        <v>0.15</v>
      </c>
      <c r="E213" s="1064">
        <v>0.15</v>
      </c>
      <c r="F213" s="1065">
        <v>0.13800000000000001</v>
      </c>
    </row>
    <row r="214" spans="1:6" ht="16" thickBot="1">
      <c r="A214" s="840" t="s">
        <v>528</v>
      </c>
      <c r="B214" s="834" t="s">
        <v>277</v>
      </c>
      <c r="C214" s="1064">
        <v>9.0999999999999998E-2</v>
      </c>
      <c r="D214" s="1064">
        <v>0.09</v>
      </c>
      <c r="E214" s="1064">
        <v>9.1999999999999998E-2</v>
      </c>
      <c r="F214" s="1076"/>
    </row>
    <row r="215" spans="1:6" ht="16" thickBot="1">
      <c r="A215" s="840" t="s">
        <v>528</v>
      </c>
      <c r="B215" s="834" t="s">
        <v>944</v>
      </c>
      <c r="C215" s="1064">
        <v>0.15</v>
      </c>
      <c r="D215" s="1064">
        <v>0.15</v>
      </c>
      <c r="E215" s="1064">
        <v>0.15</v>
      </c>
      <c r="F215" s="1065">
        <v>0.15</v>
      </c>
    </row>
    <row r="216" spans="1:6" ht="16" thickBot="1">
      <c r="A216" s="840" t="s">
        <v>528</v>
      </c>
      <c r="B216" s="834" t="s">
        <v>297</v>
      </c>
      <c r="C216" s="1064">
        <v>0.14699999999999999</v>
      </c>
      <c r="D216" s="1064">
        <v>0.14699999999999999</v>
      </c>
      <c r="E216" s="1064">
        <v>0.15</v>
      </c>
      <c r="F216" s="1065">
        <v>0.14000000000000001</v>
      </c>
    </row>
    <row r="217" spans="1:6" ht="16" thickBot="1">
      <c r="A217" s="840" t="s">
        <v>528</v>
      </c>
      <c r="B217" s="834" t="s">
        <v>307</v>
      </c>
      <c r="C217" s="1064">
        <v>0.15</v>
      </c>
      <c r="D217" s="1064">
        <v>0.15</v>
      </c>
      <c r="E217" s="1064">
        <v>0.15</v>
      </c>
      <c r="F217" s="1065">
        <v>0.15</v>
      </c>
    </row>
    <row r="218" spans="1:6" ht="16" thickBot="1">
      <c r="A218" s="840" t="s">
        <v>528</v>
      </c>
      <c r="B218" s="834" t="s">
        <v>945</v>
      </c>
      <c r="C218" s="1064">
        <v>0.15</v>
      </c>
      <c r="D218" s="1064">
        <v>0.15</v>
      </c>
      <c r="E218" s="1064">
        <v>0.15</v>
      </c>
      <c r="F218" s="1065">
        <v>0.15</v>
      </c>
    </row>
    <row r="219" spans="1:6" ht="16" thickBot="1">
      <c r="A219" s="840" t="s">
        <v>528</v>
      </c>
      <c r="B219" s="834" t="s">
        <v>328</v>
      </c>
      <c r="C219" s="1064">
        <v>0.15</v>
      </c>
      <c r="D219" s="1064">
        <v>0.15</v>
      </c>
      <c r="E219" s="1064">
        <v>0.15</v>
      </c>
      <c r="F219" s="1065">
        <v>0.14799999999999999</v>
      </c>
    </row>
    <row r="220" spans="1:6" ht="16" thickBot="1">
      <c r="A220" s="840" t="s">
        <v>528</v>
      </c>
      <c r="B220" s="834" t="s">
        <v>946</v>
      </c>
      <c r="C220" s="1064">
        <v>0.15</v>
      </c>
      <c r="D220" s="1064">
        <v>0.15</v>
      </c>
      <c r="E220" s="1064">
        <v>0.15</v>
      </c>
      <c r="F220" s="1065">
        <v>0.15</v>
      </c>
    </row>
    <row r="221" spans="1:6" ht="16" thickBot="1">
      <c r="A221" s="840" t="s">
        <v>528</v>
      </c>
      <c r="B221" s="834" t="s">
        <v>349</v>
      </c>
      <c r="C221" s="1064"/>
      <c r="D221" s="1077"/>
      <c r="E221" s="1077"/>
      <c r="F221" s="1065">
        <v>0.14799999999999999</v>
      </c>
    </row>
    <row r="222" spans="1:6" ht="16" thickBot="1">
      <c r="A222" s="840" t="s">
        <v>528</v>
      </c>
      <c r="B222" s="834" t="s">
        <v>359</v>
      </c>
      <c r="C222" s="1064"/>
      <c r="D222" s="1077"/>
      <c r="E222" s="1077"/>
      <c r="F222" s="1065">
        <v>0.1</v>
      </c>
    </row>
    <row r="223" spans="1:6" ht="16" thickBot="1">
      <c r="A223" s="840" t="s">
        <v>528</v>
      </c>
      <c r="B223" s="834" t="s">
        <v>369</v>
      </c>
      <c r="C223" s="1064"/>
      <c r="D223" s="1077"/>
      <c r="E223" s="1077"/>
      <c r="F223" s="1065">
        <v>0.15</v>
      </c>
    </row>
    <row r="224" spans="1:6" ht="16" thickBot="1">
      <c r="A224" s="840" t="s">
        <v>528</v>
      </c>
      <c r="B224" s="834" t="s">
        <v>379</v>
      </c>
      <c r="C224" s="1064"/>
      <c r="D224" s="1077"/>
      <c r="E224" s="1077"/>
      <c r="F224" s="1065">
        <v>0.15</v>
      </c>
    </row>
    <row r="225" spans="1:6" ht="16" thickBot="1">
      <c r="A225" s="840" t="s">
        <v>528</v>
      </c>
      <c r="B225" s="834" t="s">
        <v>947</v>
      </c>
      <c r="C225" s="1064">
        <v>0.15</v>
      </c>
      <c r="D225" s="1064">
        <v>0.15</v>
      </c>
      <c r="E225" s="1064">
        <v>0.15</v>
      </c>
      <c r="F225" s="1065">
        <v>0.15</v>
      </c>
    </row>
    <row r="226" spans="1:6" ht="16" thickBot="1">
      <c r="A226" s="840" t="s">
        <v>528</v>
      </c>
      <c r="B226" s="834" t="s">
        <v>397</v>
      </c>
      <c r="C226" s="1064">
        <v>0.15</v>
      </c>
      <c r="D226" s="1064">
        <v>0.15</v>
      </c>
      <c r="E226" s="1064">
        <v>0.15</v>
      </c>
      <c r="F226" s="1065">
        <v>0.14799999999999999</v>
      </c>
    </row>
    <row r="227" spans="1:6" ht="16" thickBot="1">
      <c r="A227" s="840" t="s">
        <v>528</v>
      </c>
      <c r="B227" s="834" t="s">
        <v>948</v>
      </c>
      <c r="C227" s="1064">
        <v>0.15</v>
      </c>
      <c r="D227" s="1064">
        <v>0.15</v>
      </c>
      <c r="E227" s="1064">
        <v>0.15</v>
      </c>
      <c r="F227" s="1065">
        <v>0.15</v>
      </c>
    </row>
    <row r="228" spans="1:6" ht="16" thickBot="1">
      <c r="A228" s="840" t="s">
        <v>528</v>
      </c>
      <c r="B228" s="834" t="s">
        <v>412</v>
      </c>
      <c r="C228" s="1064">
        <v>0.15</v>
      </c>
      <c r="D228" s="1064">
        <v>0.15</v>
      </c>
      <c r="E228" s="1064">
        <v>0.15</v>
      </c>
      <c r="F228" s="1065">
        <v>0.15</v>
      </c>
    </row>
    <row r="229" spans="1:6" ht="16" thickBot="1">
      <c r="A229" s="840" t="s">
        <v>528</v>
      </c>
      <c r="B229" s="834" t="s">
        <v>419</v>
      </c>
      <c r="C229" s="1064">
        <v>0.15</v>
      </c>
      <c r="D229" s="1064">
        <v>0.15</v>
      </c>
      <c r="E229" s="1064">
        <v>0.15</v>
      </c>
      <c r="F229" s="1076"/>
    </row>
    <row r="230" spans="1:6" ht="16" thickBot="1">
      <c r="A230" s="840" t="s">
        <v>528</v>
      </c>
      <c r="B230" s="834" t="s">
        <v>426</v>
      </c>
      <c r="C230" s="1064">
        <v>0.14499999999999999</v>
      </c>
      <c r="D230" s="1064">
        <v>0.14499999999999999</v>
      </c>
      <c r="E230" s="1064">
        <v>0.14399999999999999</v>
      </c>
      <c r="F230" s="1076"/>
    </row>
    <row r="231" spans="1:6" ht="16" thickBot="1">
      <c r="A231" s="840" t="s">
        <v>528</v>
      </c>
      <c r="B231" s="834" t="s">
        <v>949</v>
      </c>
      <c r="C231" s="1064">
        <v>0.128</v>
      </c>
      <c r="D231" s="1064">
        <v>0.125</v>
      </c>
      <c r="E231" s="1064">
        <v>0.13200000000000001</v>
      </c>
      <c r="F231" s="1076"/>
    </row>
    <row r="232" spans="1:6" ht="16" thickBot="1">
      <c r="A232" s="840" t="s">
        <v>528</v>
      </c>
      <c r="B232" s="834" t="s">
        <v>950</v>
      </c>
      <c r="C232" s="1064">
        <v>0.14499999999999999</v>
      </c>
      <c r="D232" s="1064">
        <v>0.14399999999999999</v>
      </c>
      <c r="E232" s="1064">
        <v>0.14599999999999999</v>
      </c>
      <c r="F232" s="1065">
        <v>0.13800000000000001</v>
      </c>
    </row>
    <row r="233" spans="1:6" ht="16" thickBot="1">
      <c r="A233" s="840" t="s">
        <v>528</v>
      </c>
      <c r="B233" s="834" t="s">
        <v>951</v>
      </c>
      <c r="C233" s="1064">
        <v>0.14499999999999999</v>
      </c>
      <c r="D233" s="1064">
        <v>0.14299999999999999</v>
      </c>
      <c r="E233" s="1064">
        <v>0.14199999999999999</v>
      </c>
      <c r="F233" s="1076"/>
    </row>
    <row r="234" spans="1:6" ht="16" thickBot="1">
      <c r="A234" s="840" t="s">
        <v>528</v>
      </c>
      <c r="B234" s="834" t="s">
        <v>952</v>
      </c>
      <c r="C234" s="1064">
        <v>0.14000000000000001</v>
      </c>
      <c r="D234" s="1064">
        <v>0.14000000000000001</v>
      </c>
      <c r="E234" s="1064">
        <v>0.14399999999999999</v>
      </c>
      <c r="F234" s="1076"/>
    </row>
    <row r="235" spans="1:6" ht="16" thickBot="1">
      <c r="A235" s="840" t="s">
        <v>528</v>
      </c>
      <c r="B235" s="834" t="s">
        <v>953</v>
      </c>
      <c r="C235" s="1064">
        <v>0.14099999999999999</v>
      </c>
      <c r="D235" s="1064">
        <v>0.14199999999999999</v>
      </c>
      <c r="E235" s="1064">
        <v>0.14499999999999999</v>
      </c>
      <c r="F235" s="1065">
        <v>0.15</v>
      </c>
    </row>
    <row r="236" spans="1:6" ht="16" thickBot="1">
      <c r="A236" s="840" t="s">
        <v>528</v>
      </c>
      <c r="B236" s="834" t="s">
        <v>461</v>
      </c>
      <c r="C236" s="1077"/>
      <c r="D236" s="1077"/>
      <c r="E236" s="1077"/>
      <c r="F236" s="1065">
        <v>0.14299999999999999</v>
      </c>
    </row>
    <row r="237" spans="1:6" ht="31" thickBot="1">
      <c r="A237" s="840" t="s">
        <v>528</v>
      </c>
      <c r="B237" s="834" t="s">
        <v>954</v>
      </c>
      <c r="C237" s="1077"/>
      <c r="D237" s="1077"/>
      <c r="E237" s="1077"/>
      <c r="F237" s="1065">
        <v>0.05</v>
      </c>
    </row>
    <row r="238" spans="1:6" ht="31" thickBot="1">
      <c r="A238" s="840" t="s">
        <v>528</v>
      </c>
      <c r="B238" s="834" t="s">
        <v>955</v>
      </c>
      <c r="C238" s="1077"/>
      <c r="D238" s="1077"/>
      <c r="E238" s="1077"/>
      <c r="F238" s="1065">
        <v>0.05</v>
      </c>
    </row>
    <row r="239" spans="1:6" ht="31" thickBot="1">
      <c r="A239" s="840" t="s">
        <v>528</v>
      </c>
      <c r="B239" s="834" t="s">
        <v>956</v>
      </c>
      <c r="C239" s="1077"/>
      <c r="D239" s="1077"/>
      <c r="E239" s="1077"/>
      <c r="F239" s="1065">
        <v>0.05</v>
      </c>
    </row>
    <row r="240" spans="1:6" ht="31" thickBot="1">
      <c r="A240" s="840" t="s">
        <v>528</v>
      </c>
      <c r="B240" s="834" t="s">
        <v>957</v>
      </c>
      <c r="C240" s="1077"/>
      <c r="D240" s="1077"/>
      <c r="E240" s="1077"/>
      <c r="F240" s="1065">
        <v>0.05</v>
      </c>
    </row>
    <row r="241" spans="1:6" ht="31" thickBot="1">
      <c r="A241" s="840" t="s">
        <v>528</v>
      </c>
      <c r="B241" s="834" t="s">
        <v>958</v>
      </c>
      <c r="C241" s="1077"/>
      <c r="D241" s="1077"/>
      <c r="E241" s="1077"/>
      <c r="F241" s="1065">
        <v>0.05</v>
      </c>
    </row>
    <row r="242" spans="1:6" ht="31" thickBot="1">
      <c r="A242" s="840" t="s">
        <v>528</v>
      </c>
      <c r="B242" s="834" t="s">
        <v>959</v>
      </c>
      <c r="C242" s="1077"/>
      <c r="D242" s="1077"/>
      <c r="E242" s="1077"/>
      <c r="F242" s="1065">
        <v>0.05</v>
      </c>
    </row>
    <row r="243" spans="1:6" ht="31" thickBot="1">
      <c r="A243" s="840" t="s">
        <v>528</v>
      </c>
      <c r="B243" s="834" t="s">
        <v>960</v>
      </c>
      <c r="C243" s="1077"/>
      <c r="D243" s="1077"/>
      <c r="E243" s="1077"/>
      <c r="F243" s="1065">
        <v>0.05</v>
      </c>
    </row>
    <row r="244" spans="1:6" ht="31" thickBot="1">
      <c r="A244" s="850" t="s">
        <v>528</v>
      </c>
      <c r="B244" s="846" t="s">
        <v>961</v>
      </c>
      <c r="C244" s="1074"/>
      <c r="D244" s="1074"/>
      <c r="E244" s="1074"/>
      <c r="F244" s="1067">
        <v>0.05</v>
      </c>
    </row>
    <row r="245" spans="1:6" ht="16" thickBot="1">
      <c r="A245" s="840" t="s">
        <v>530</v>
      </c>
      <c r="B245" s="841" t="s">
        <v>962</v>
      </c>
      <c r="C245" s="1062">
        <v>0.15</v>
      </c>
      <c r="D245" s="1062">
        <v>0.15</v>
      </c>
      <c r="E245" s="1062">
        <v>0.15</v>
      </c>
      <c r="F245" s="1063">
        <v>0.14299999999999999</v>
      </c>
    </row>
    <row r="246" spans="1:6" ht="16" thickBot="1">
      <c r="A246" s="840" t="s">
        <v>530</v>
      </c>
      <c r="B246" s="834" t="s">
        <v>195</v>
      </c>
      <c r="C246" s="1064">
        <v>0.15</v>
      </c>
      <c r="D246" s="1064">
        <v>0.15</v>
      </c>
      <c r="E246" s="1064">
        <v>0.15</v>
      </c>
      <c r="F246" s="1065">
        <v>0.114</v>
      </c>
    </row>
    <row r="247" spans="1:6" ht="16" thickBot="1">
      <c r="A247" s="840" t="s">
        <v>530</v>
      </c>
      <c r="B247" s="834" t="s">
        <v>963</v>
      </c>
      <c r="C247" s="1064">
        <v>0.15</v>
      </c>
      <c r="D247" s="1064">
        <v>0.15</v>
      </c>
      <c r="E247" s="1064">
        <v>0.15</v>
      </c>
      <c r="F247" s="1065">
        <v>0.15</v>
      </c>
    </row>
    <row r="248" spans="1:6" ht="16" thickBot="1">
      <c r="A248" s="840" t="s">
        <v>530</v>
      </c>
      <c r="B248" s="834" t="s">
        <v>964</v>
      </c>
      <c r="C248" s="1064">
        <v>0.15</v>
      </c>
      <c r="D248" s="1064">
        <v>0.15</v>
      </c>
      <c r="E248" s="1064">
        <v>0.15</v>
      </c>
      <c r="F248" s="1065">
        <v>0.14000000000000001</v>
      </c>
    </row>
    <row r="249" spans="1:6" ht="16" thickBot="1">
      <c r="A249" s="840" t="s">
        <v>530</v>
      </c>
      <c r="B249" s="834" t="s">
        <v>965</v>
      </c>
      <c r="C249" s="1064">
        <v>0.15</v>
      </c>
      <c r="D249" s="1064">
        <v>0.14899999999999999</v>
      </c>
      <c r="E249" s="1064">
        <v>0.15</v>
      </c>
      <c r="F249" s="1065">
        <v>0.1</v>
      </c>
    </row>
    <row r="250" spans="1:6" ht="16" thickBot="1">
      <c r="A250" s="840" t="s">
        <v>530</v>
      </c>
      <c r="B250" s="834" t="s">
        <v>966</v>
      </c>
      <c r="C250" s="1064">
        <v>0.15</v>
      </c>
      <c r="D250" s="1064">
        <v>0.15</v>
      </c>
      <c r="E250" s="1064">
        <v>0.15</v>
      </c>
      <c r="F250" s="1065">
        <v>0.14399999999999999</v>
      </c>
    </row>
    <row r="251" spans="1:6" ht="16" thickBot="1">
      <c r="A251" s="840" t="s">
        <v>530</v>
      </c>
      <c r="B251" s="834" t="s">
        <v>255</v>
      </c>
      <c r="C251" s="1064">
        <v>0.15</v>
      </c>
      <c r="D251" s="1064">
        <v>0.15</v>
      </c>
      <c r="E251" s="1064">
        <v>0.15</v>
      </c>
      <c r="F251" s="1065">
        <v>0.14299999999999999</v>
      </c>
    </row>
    <row r="252" spans="1:6" ht="16" thickBot="1">
      <c r="A252" s="840" t="s">
        <v>530</v>
      </c>
      <c r="B252" s="834" t="s">
        <v>266</v>
      </c>
      <c r="C252" s="1064">
        <v>0.15</v>
      </c>
      <c r="D252" s="1064">
        <v>0.15</v>
      </c>
      <c r="E252" s="1064">
        <v>0.15</v>
      </c>
      <c r="F252" s="1065">
        <v>0.1</v>
      </c>
    </row>
    <row r="253" spans="1:6" ht="16" thickBot="1">
      <c r="A253" s="840" t="s">
        <v>530</v>
      </c>
      <c r="B253" s="834" t="s">
        <v>278</v>
      </c>
      <c r="C253" s="1064">
        <v>0.15</v>
      </c>
      <c r="D253" s="1064">
        <v>0.15</v>
      </c>
      <c r="E253" s="1064">
        <v>0.15</v>
      </c>
      <c r="F253" s="1065">
        <v>0.1</v>
      </c>
    </row>
    <row r="254" spans="1:6" ht="16" thickBot="1">
      <c r="A254" s="840" t="s">
        <v>530</v>
      </c>
      <c r="B254" s="834" t="s">
        <v>288</v>
      </c>
      <c r="C254" s="1077"/>
      <c r="D254" s="1077"/>
      <c r="E254" s="1077"/>
      <c r="F254" s="1065">
        <v>0.15</v>
      </c>
    </row>
    <row r="255" spans="1:6" ht="16" thickBot="1">
      <c r="A255" s="840" t="s">
        <v>530</v>
      </c>
      <c r="B255" s="834" t="s">
        <v>298</v>
      </c>
      <c r="C255" s="1077"/>
      <c r="D255" s="1077"/>
      <c r="E255" s="1077"/>
      <c r="F255" s="1065">
        <v>0.14299999999999999</v>
      </c>
    </row>
    <row r="256" spans="1:6" ht="16" thickBot="1">
      <c r="A256" s="840" t="s">
        <v>530</v>
      </c>
      <c r="B256" s="834" t="s">
        <v>967</v>
      </c>
      <c r="C256" s="1064">
        <v>0.14599999999999999</v>
      </c>
      <c r="D256" s="1064">
        <v>0.14699999999999999</v>
      </c>
      <c r="E256" s="1064">
        <v>0.15</v>
      </c>
      <c r="F256" s="1065">
        <v>0.13200000000000001</v>
      </c>
    </row>
    <row r="257" spans="1:6" ht="16" thickBot="1">
      <c r="A257" s="840" t="s">
        <v>530</v>
      </c>
      <c r="B257" s="834" t="s">
        <v>318</v>
      </c>
      <c r="C257" s="1064">
        <v>0.15</v>
      </c>
      <c r="D257" s="1064">
        <v>0.15</v>
      </c>
      <c r="E257" s="1064">
        <v>0.15</v>
      </c>
      <c r="F257" s="1065">
        <v>0.13900000000000001</v>
      </c>
    </row>
    <row r="258" spans="1:6" ht="16" thickBot="1">
      <c r="A258" s="840" t="s">
        <v>530</v>
      </c>
      <c r="B258" s="834" t="s">
        <v>329</v>
      </c>
      <c r="C258" s="1064">
        <v>0.15</v>
      </c>
      <c r="D258" s="1064">
        <v>0.15</v>
      </c>
      <c r="E258" s="1064">
        <v>0.15</v>
      </c>
      <c r="F258" s="1065">
        <v>0.13</v>
      </c>
    </row>
    <row r="259" spans="1:6" ht="16" thickBot="1">
      <c r="A259" s="840" t="s">
        <v>530</v>
      </c>
      <c r="B259" s="834" t="s">
        <v>968</v>
      </c>
      <c r="C259" s="1064">
        <v>0.14799999999999999</v>
      </c>
      <c r="D259" s="1064">
        <v>0.14899999999999999</v>
      </c>
      <c r="E259" s="1064">
        <v>0.15</v>
      </c>
      <c r="F259" s="1065">
        <v>0.13700000000000001</v>
      </c>
    </row>
    <row r="260" spans="1:6" ht="16" thickBot="1">
      <c r="A260" s="840" t="s">
        <v>530</v>
      </c>
      <c r="B260" s="834" t="s">
        <v>350</v>
      </c>
      <c r="C260" s="1064">
        <v>0.15</v>
      </c>
      <c r="D260" s="1064">
        <v>0.15</v>
      </c>
      <c r="E260" s="1064">
        <v>0.15</v>
      </c>
      <c r="F260" s="1065">
        <v>0.14199999999999999</v>
      </c>
    </row>
    <row r="261" spans="1:6" ht="16" thickBot="1">
      <c r="A261" s="840" t="s">
        <v>530</v>
      </c>
      <c r="B261" s="834" t="s">
        <v>360</v>
      </c>
      <c r="C261" s="1064">
        <v>0.15</v>
      </c>
      <c r="D261" s="1064">
        <v>0.15</v>
      </c>
      <c r="E261" s="1064">
        <v>0.14899999999999999</v>
      </c>
      <c r="F261" s="1065">
        <v>0.14799999999999999</v>
      </c>
    </row>
    <row r="262" spans="1:6" ht="16" thickBot="1">
      <c r="A262" s="840" t="s">
        <v>530</v>
      </c>
      <c r="B262" s="834" t="s">
        <v>370</v>
      </c>
      <c r="C262" s="1064">
        <v>0.15</v>
      </c>
      <c r="D262" s="1064">
        <v>0.15</v>
      </c>
      <c r="E262" s="1064">
        <v>0.15</v>
      </c>
      <c r="F262" s="1076"/>
    </row>
    <row r="263" spans="1:6" ht="16" thickBot="1">
      <c r="A263" s="840" t="s">
        <v>530</v>
      </c>
      <c r="B263" s="834" t="s">
        <v>969</v>
      </c>
      <c r="C263" s="1064">
        <v>0.14899999999999999</v>
      </c>
      <c r="D263" s="1064">
        <v>0.14899999999999999</v>
      </c>
      <c r="E263" s="1064">
        <v>0.15</v>
      </c>
      <c r="F263" s="1065">
        <v>0.13</v>
      </c>
    </row>
    <row r="264" spans="1:6" ht="16" thickBot="1">
      <c r="A264" s="840" t="s">
        <v>530</v>
      </c>
      <c r="B264" s="834" t="s">
        <v>389</v>
      </c>
      <c r="C264" s="1064">
        <v>0.14799999999999999</v>
      </c>
      <c r="D264" s="1064">
        <v>0.14699999999999999</v>
      </c>
      <c r="E264" s="1064">
        <v>0.15</v>
      </c>
      <c r="F264" s="1065">
        <v>7.8E-2</v>
      </c>
    </row>
    <row r="265" spans="1:6" ht="16" thickBot="1">
      <c r="A265" s="840" t="s">
        <v>530</v>
      </c>
      <c r="B265" s="834" t="s">
        <v>398</v>
      </c>
      <c r="C265" s="1064">
        <v>0.15</v>
      </c>
      <c r="D265" s="1064">
        <v>0.15</v>
      </c>
      <c r="E265" s="1064">
        <v>0.15</v>
      </c>
      <c r="F265" s="1065">
        <v>7.3999999999999996E-2</v>
      </c>
    </row>
    <row r="266" spans="1:6" ht="16" thickBot="1">
      <c r="A266" s="840" t="s">
        <v>530</v>
      </c>
      <c r="B266" s="834" t="s">
        <v>406</v>
      </c>
      <c r="C266" s="1064">
        <v>0.14699999999999999</v>
      </c>
      <c r="D266" s="1064">
        <v>0.14699999999999999</v>
      </c>
      <c r="E266" s="1064">
        <v>0.15</v>
      </c>
      <c r="F266" s="1065">
        <v>0.14299999999999999</v>
      </c>
    </row>
    <row r="267" spans="1:6" ht="16" thickBot="1">
      <c r="A267" s="840" t="s">
        <v>530</v>
      </c>
      <c r="B267" s="834" t="s">
        <v>413</v>
      </c>
      <c r="C267" s="1064">
        <v>0.14199999999999999</v>
      </c>
      <c r="D267" s="1064">
        <v>0.14299999999999999</v>
      </c>
      <c r="E267" s="1064">
        <v>0.15</v>
      </c>
      <c r="F267" s="1076"/>
    </row>
    <row r="268" spans="1:6" ht="16" thickBot="1">
      <c r="A268" s="840" t="s">
        <v>530</v>
      </c>
      <c r="B268" s="834" t="s">
        <v>970</v>
      </c>
      <c r="C268" s="1064">
        <v>0.15</v>
      </c>
      <c r="D268" s="1064">
        <v>0.15</v>
      </c>
      <c r="E268" s="1064">
        <v>0.15</v>
      </c>
      <c r="F268" s="1065">
        <v>0.13</v>
      </c>
    </row>
    <row r="269" spans="1:6" ht="16" thickBot="1">
      <c r="A269" s="840" t="s">
        <v>530</v>
      </c>
      <c r="B269" s="834" t="s">
        <v>427</v>
      </c>
      <c r="C269" s="1064">
        <v>0.15</v>
      </c>
      <c r="D269" s="1064">
        <v>0.15</v>
      </c>
      <c r="E269" s="1064">
        <v>0.15</v>
      </c>
      <c r="F269" s="1065">
        <v>0.14299999999999999</v>
      </c>
    </row>
    <row r="270" spans="1:6" ht="16" thickBot="1">
      <c r="A270" s="840" t="s">
        <v>530</v>
      </c>
      <c r="B270" s="834" t="s">
        <v>434</v>
      </c>
      <c r="C270" s="1064">
        <v>0.14499999999999999</v>
      </c>
      <c r="D270" s="1064">
        <v>0.14499999999999999</v>
      </c>
      <c r="E270" s="1064">
        <v>0.15</v>
      </c>
      <c r="F270" s="1065">
        <v>0.14699999999999999</v>
      </c>
    </row>
    <row r="271" spans="1:6" ht="16" thickBot="1">
      <c r="A271" s="840" t="s">
        <v>530</v>
      </c>
      <c r="B271" s="834" t="s">
        <v>441</v>
      </c>
      <c r="C271" s="1064">
        <v>0.15</v>
      </c>
      <c r="D271" s="1064">
        <v>0.15</v>
      </c>
      <c r="E271" s="1064">
        <v>0.15</v>
      </c>
      <c r="F271" s="1065">
        <v>0.13800000000000001</v>
      </c>
    </row>
    <row r="272" spans="1:6" ht="16" thickBot="1">
      <c r="A272" s="840" t="s">
        <v>530</v>
      </c>
      <c r="B272" s="834" t="s">
        <v>448</v>
      </c>
      <c r="C272" s="1077"/>
      <c r="D272" s="1077"/>
      <c r="E272" s="1077"/>
      <c r="F272" s="1065">
        <v>0.14000000000000001</v>
      </c>
    </row>
    <row r="273" spans="1:6" ht="16" thickBot="1">
      <c r="A273" s="840" t="s">
        <v>530</v>
      </c>
      <c r="B273" s="834" t="s">
        <v>971</v>
      </c>
      <c r="C273" s="1064">
        <v>0.14199999999999999</v>
      </c>
      <c r="D273" s="1064">
        <v>0.14299999999999999</v>
      </c>
      <c r="E273" s="1064">
        <v>0.15</v>
      </c>
      <c r="F273" s="1065">
        <v>0.1</v>
      </c>
    </row>
    <row r="274" spans="1:6" ht="16" thickBot="1">
      <c r="A274" s="840" t="s">
        <v>530</v>
      </c>
      <c r="B274" s="834" t="s">
        <v>972</v>
      </c>
      <c r="C274" s="1064">
        <v>0.14799999999999999</v>
      </c>
      <c r="D274" s="1064">
        <v>0.14799999999999999</v>
      </c>
      <c r="E274" s="1064">
        <v>0.15</v>
      </c>
      <c r="F274" s="1065">
        <v>6.7000000000000004E-2</v>
      </c>
    </row>
    <row r="275" spans="1:6" ht="16" thickBot="1">
      <c r="A275" s="840" t="s">
        <v>530</v>
      </c>
      <c r="B275" s="834" t="s">
        <v>973</v>
      </c>
      <c r="C275" s="1064">
        <v>0.15</v>
      </c>
      <c r="D275" s="1064">
        <v>0.15</v>
      </c>
      <c r="E275" s="1064">
        <v>0.15</v>
      </c>
      <c r="F275" s="1065">
        <v>0.15</v>
      </c>
    </row>
    <row r="276" spans="1:6" ht="16" thickBot="1">
      <c r="A276" s="840" t="s">
        <v>530</v>
      </c>
      <c r="B276" s="834" t="s">
        <v>974</v>
      </c>
      <c r="C276" s="1064">
        <v>0.14499999999999999</v>
      </c>
      <c r="D276" s="1064">
        <v>0.14299999999999999</v>
      </c>
      <c r="E276" s="1064">
        <v>0.15</v>
      </c>
      <c r="F276" s="1065">
        <v>5.8999999999999997E-2</v>
      </c>
    </row>
    <row r="277" spans="1:6" ht="16" thickBot="1">
      <c r="A277" s="840" t="s">
        <v>530</v>
      </c>
      <c r="B277" s="834" t="s">
        <v>975</v>
      </c>
      <c r="C277" s="1064">
        <v>0.15</v>
      </c>
      <c r="D277" s="1064">
        <v>0.15</v>
      </c>
      <c r="E277" s="1064">
        <v>0.15</v>
      </c>
      <c r="F277" s="1065">
        <v>0.121</v>
      </c>
    </row>
    <row r="278" spans="1:6" ht="16" thickBot="1">
      <c r="A278" s="840" t="s">
        <v>530</v>
      </c>
      <c r="B278" s="834" t="s">
        <v>976</v>
      </c>
      <c r="C278" s="1064">
        <v>0.15</v>
      </c>
      <c r="D278" s="1064">
        <v>0.15</v>
      </c>
      <c r="E278" s="1064">
        <v>0.15</v>
      </c>
      <c r="F278" s="1065">
        <v>0.13800000000000001</v>
      </c>
    </row>
    <row r="279" spans="1:6" ht="31" thickBot="1">
      <c r="A279" s="840" t="s">
        <v>530</v>
      </c>
      <c r="B279" s="834" t="s">
        <v>977</v>
      </c>
      <c r="C279" s="1077"/>
      <c r="D279" s="1077"/>
      <c r="E279" s="1077"/>
      <c r="F279" s="1065">
        <v>0.05</v>
      </c>
    </row>
    <row r="280" spans="1:6" ht="31" thickBot="1">
      <c r="A280" s="840" t="s">
        <v>530</v>
      </c>
      <c r="B280" s="834" t="s">
        <v>978</v>
      </c>
      <c r="C280" s="1077"/>
      <c r="D280" s="1077"/>
      <c r="E280" s="1077"/>
      <c r="F280" s="1065">
        <v>0.05</v>
      </c>
    </row>
    <row r="281" spans="1:6" ht="31" thickBot="1">
      <c r="A281" s="840" t="s">
        <v>530</v>
      </c>
      <c r="B281" s="834" t="s">
        <v>979</v>
      </c>
      <c r="C281" s="1077"/>
      <c r="D281" s="1077"/>
      <c r="E281" s="1077"/>
      <c r="F281" s="1065">
        <v>0.05</v>
      </c>
    </row>
    <row r="282" spans="1:6" ht="31" thickBot="1">
      <c r="A282" s="840" t="s">
        <v>530</v>
      </c>
      <c r="B282" s="834" t="s">
        <v>980</v>
      </c>
      <c r="C282" s="1077"/>
      <c r="D282" s="1077"/>
      <c r="E282" s="1077"/>
      <c r="F282" s="1065">
        <v>0.05</v>
      </c>
    </row>
    <row r="283" spans="1:6" ht="31" thickBot="1">
      <c r="A283" s="840" t="s">
        <v>530</v>
      </c>
      <c r="B283" s="834" t="s">
        <v>981</v>
      </c>
      <c r="C283" s="1077"/>
      <c r="D283" s="1077"/>
      <c r="E283" s="1077"/>
      <c r="F283" s="1065">
        <v>0.05</v>
      </c>
    </row>
    <row r="284" spans="1:6" ht="31" thickBot="1">
      <c r="A284" s="840" t="s">
        <v>530</v>
      </c>
      <c r="B284" s="834" t="s">
        <v>982</v>
      </c>
      <c r="C284" s="1077"/>
      <c r="D284" s="1077"/>
      <c r="E284" s="1077"/>
      <c r="F284" s="1065">
        <v>0.05</v>
      </c>
    </row>
    <row r="285" spans="1:6" ht="31" thickBot="1">
      <c r="A285" s="840" t="s">
        <v>530</v>
      </c>
      <c r="B285" s="834" t="s">
        <v>983</v>
      </c>
      <c r="C285" s="1077"/>
      <c r="D285" s="1077"/>
      <c r="E285" s="1077"/>
      <c r="F285" s="1065">
        <v>0.05</v>
      </c>
    </row>
    <row r="286" spans="1:6" ht="31" thickBot="1">
      <c r="A286" s="840" t="s">
        <v>530</v>
      </c>
      <c r="B286" s="834" t="s">
        <v>984</v>
      </c>
      <c r="C286" s="1077"/>
      <c r="D286" s="1077"/>
      <c r="E286" s="1077"/>
      <c r="F286" s="1065">
        <v>0.05</v>
      </c>
    </row>
    <row r="287" spans="1:6" ht="31" thickBot="1">
      <c r="A287" s="840" t="s">
        <v>530</v>
      </c>
      <c r="B287" s="834" t="s">
        <v>985</v>
      </c>
      <c r="C287" s="1077"/>
      <c r="D287" s="1077"/>
      <c r="E287" s="1077"/>
      <c r="F287" s="1065">
        <v>0.05</v>
      </c>
    </row>
    <row r="288" spans="1:6" ht="31" thickBot="1">
      <c r="A288" s="840" t="s">
        <v>530</v>
      </c>
      <c r="B288" s="834" t="s">
        <v>986</v>
      </c>
      <c r="C288" s="1077"/>
      <c r="D288" s="1077"/>
      <c r="E288" s="1077"/>
      <c r="F288" s="1065">
        <v>0.05</v>
      </c>
    </row>
    <row r="289" spans="1:6" ht="31" thickBot="1">
      <c r="A289" s="850" t="s">
        <v>530</v>
      </c>
      <c r="B289" s="846" t="s">
        <v>987</v>
      </c>
      <c r="C289" s="1074"/>
      <c r="D289" s="1074"/>
      <c r="E289" s="1074"/>
      <c r="F289" s="1067">
        <v>0.05</v>
      </c>
    </row>
    <row r="290" spans="1:6" ht="16" thickBot="1">
      <c r="A290" s="840" t="s">
        <v>534</v>
      </c>
      <c r="B290" s="841" t="s">
        <v>988</v>
      </c>
      <c r="C290" s="1062">
        <v>0.15</v>
      </c>
      <c r="D290" s="1062">
        <v>0.15</v>
      </c>
      <c r="E290" s="1062">
        <v>0.15</v>
      </c>
      <c r="F290" s="1079"/>
    </row>
    <row r="291" spans="1:6" ht="16" thickBot="1">
      <c r="A291" s="840" t="s">
        <v>534</v>
      </c>
      <c r="B291" s="834" t="s">
        <v>196</v>
      </c>
      <c r="C291" s="1064">
        <v>0.15</v>
      </c>
      <c r="D291" s="1064">
        <v>0.15</v>
      </c>
      <c r="E291" s="1064">
        <v>0.15</v>
      </c>
      <c r="F291" s="1076"/>
    </row>
    <row r="292" spans="1:6" ht="16" thickBot="1">
      <c r="A292" s="840" t="s">
        <v>534</v>
      </c>
      <c r="B292" s="834" t="s">
        <v>989</v>
      </c>
      <c r="C292" s="1064">
        <v>0.15</v>
      </c>
      <c r="D292" s="1064">
        <v>0.15</v>
      </c>
      <c r="E292" s="1064">
        <v>0.15</v>
      </c>
      <c r="F292" s="1065">
        <v>0.14699999999999999</v>
      </c>
    </row>
    <row r="293" spans="1:6" ht="16" thickBot="1">
      <c r="A293" s="840" t="s">
        <v>534</v>
      </c>
      <c r="B293" s="834" t="s">
        <v>990</v>
      </c>
      <c r="C293" s="1077"/>
      <c r="D293" s="1077"/>
      <c r="E293" s="1077"/>
      <c r="F293" s="1065">
        <v>0.1</v>
      </c>
    </row>
    <row r="294" spans="1:6" ht="16" thickBot="1">
      <c r="A294" s="840" t="s">
        <v>534</v>
      </c>
      <c r="B294" s="834" t="s">
        <v>991</v>
      </c>
      <c r="C294" s="1064">
        <v>0.15</v>
      </c>
      <c r="D294" s="1064">
        <v>0.15</v>
      </c>
      <c r="E294" s="1064">
        <v>0.15</v>
      </c>
      <c r="F294" s="1065">
        <v>0.15</v>
      </c>
    </row>
    <row r="295" spans="1:6" ht="16" thickBot="1">
      <c r="A295" s="840" t="s">
        <v>534</v>
      </c>
      <c r="B295" s="834" t="s">
        <v>234</v>
      </c>
      <c r="C295" s="1064">
        <v>0.15</v>
      </c>
      <c r="D295" s="1064">
        <v>0.15</v>
      </c>
      <c r="E295" s="1064">
        <v>0.15</v>
      </c>
      <c r="F295" s="1065">
        <v>0.15</v>
      </c>
    </row>
    <row r="296" spans="1:6" ht="16" thickBot="1">
      <c r="A296" s="840" t="s">
        <v>534</v>
      </c>
      <c r="B296" s="834" t="s">
        <v>992</v>
      </c>
      <c r="C296" s="1064">
        <v>0.15</v>
      </c>
      <c r="D296" s="1064">
        <v>0.15</v>
      </c>
      <c r="E296" s="1064">
        <v>0.15</v>
      </c>
      <c r="F296" s="1065">
        <v>0.15</v>
      </c>
    </row>
    <row r="297" spans="1:6" ht="16" thickBot="1">
      <c r="A297" s="840" t="s">
        <v>534</v>
      </c>
      <c r="B297" s="834" t="s">
        <v>993</v>
      </c>
      <c r="C297" s="1064">
        <v>0.14799999999999999</v>
      </c>
      <c r="D297" s="1064">
        <v>0.14899999999999999</v>
      </c>
      <c r="E297" s="1064">
        <v>0.15</v>
      </c>
      <c r="F297" s="1065">
        <v>0.13700000000000001</v>
      </c>
    </row>
    <row r="298" spans="1:6" ht="16" thickBot="1">
      <c r="A298" s="840" t="s">
        <v>534</v>
      </c>
      <c r="B298" s="834" t="s">
        <v>267</v>
      </c>
      <c r="C298" s="1064">
        <v>0.13400000000000001</v>
      </c>
      <c r="D298" s="1064">
        <v>0.13400000000000001</v>
      </c>
      <c r="E298" s="1064">
        <v>0.14499999999999999</v>
      </c>
      <c r="F298" s="1065">
        <v>0.14799999999999999</v>
      </c>
    </row>
    <row r="299" spans="1:6" ht="16" thickBot="1">
      <c r="A299" s="840" t="s">
        <v>534</v>
      </c>
      <c r="B299" s="834" t="s">
        <v>279</v>
      </c>
      <c r="C299" s="1064">
        <v>0.15</v>
      </c>
      <c r="D299" s="1064">
        <v>0.15</v>
      </c>
      <c r="E299" s="1064">
        <v>0.15</v>
      </c>
      <c r="F299" s="1076"/>
    </row>
    <row r="300" spans="1:6" ht="16" thickBot="1">
      <c r="A300" s="840" t="s">
        <v>534</v>
      </c>
      <c r="B300" s="834" t="s">
        <v>994</v>
      </c>
      <c r="C300" s="1064">
        <v>0.15</v>
      </c>
      <c r="D300" s="1064">
        <v>0.15</v>
      </c>
      <c r="E300" s="1064">
        <v>0.15</v>
      </c>
      <c r="F300" s="1065">
        <v>0.15</v>
      </c>
    </row>
    <row r="301" spans="1:6" ht="16" thickBot="1">
      <c r="A301" s="840" t="s">
        <v>534</v>
      </c>
      <c r="B301" s="834" t="s">
        <v>299</v>
      </c>
      <c r="C301" s="1064">
        <v>0.15</v>
      </c>
      <c r="D301" s="1064">
        <v>0.15</v>
      </c>
      <c r="E301" s="1064">
        <v>0.15</v>
      </c>
      <c r="F301" s="1076"/>
    </row>
    <row r="302" spans="1:6" ht="16" thickBot="1">
      <c r="A302" s="840" t="s">
        <v>534</v>
      </c>
      <c r="B302" s="834" t="s">
        <v>995</v>
      </c>
      <c r="C302" s="1064">
        <v>0.15</v>
      </c>
      <c r="D302" s="1064">
        <v>0.15</v>
      </c>
      <c r="E302" s="1064">
        <v>0.15</v>
      </c>
      <c r="F302" s="1065">
        <v>0.15</v>
      </c>
    </row>
    <row r="303" spans="1:6" ht="16" thickBot="1">
      <c r="A303" s="840" t="s">
        <v>534</v>
      </c>
      <c r="B303" s="834" t="s">
        <v>319</v>
      </c>
      <c r="C303" s="1064">
        <v>0.15</v>
      </c>
      <c r="D303" s="1064">
        <v>0.15</v>
      </c>
      <c r="E303" s="1064">
        <v>0.15</v>
      </c>
      <c r="F303" s="1065">
        <v>0.15</v>
      </c>
    </row>
    <row r="304" spans="1:6" ht="16" thickBot="1">
      <c r="A304" s="840" t="s">
        <v>534</v>
      </c>
      <c r="B304" s="834" t="s">
        <v>330</v>
      </c>
      <c r="C304" s="1064">
        <v>0.15</v>
      </c>
      <c r="D304" s="1064">
        <v>0.15</v>
      </c>
      <c r="E304" s="1064">
        <v>0.15</v>
      </c>
      <c r="F304" s="1076"/>
    </row>
    <row r="305" spans="1:6" ht="16" thickBot="1">
      <c r="A305" s="840" t="s">
        <v>534</v>
      </c>
      <c r="B305" s="834" t="s">
        <v>996</v>
      </c>
      <c r="C305" s="1064">
        <v>0.15</v>
      </c>
      <c r="D305" s="1064">
        <v>0.15</v>
      </c>
      <c r="E305" s="1064">
        <v>0.15</v>
      </c>
      <c r="F305" s="1065">
        <v>0.14000000000000001</v>
      </c>
    </row>
    <row r="306" spans="1:6" ht="16" thickBot="1">
      <c r="A306" s="840" t="s">
        <v>534</v>
      </c>
      <c r="B306" s="834" t="s">
        <v>351</v>
      </c>
      <c r="C306" s="1064">
        <v>0.15</v>
      </c>
      <c r="D306" s="1064">
        <v>0.15</v>
      </c>
      <c r="E306" s="1064">
        <v>0.15</v>
      </c>
      <c r="F306" s="1076"/>
    </row>
    <row r="307" spans="1:6" ht="16" thickBot="1">
      <c r="A307" s="840" t="s">
        <v>534</v>
      </c>
      <c r="B307" s="834" t="s">
        <v>997</v>
      </c>
      <c r="C307" s="1064">
        <v>0.15</v>
      </c>
      <c r="D307" s="1064">
        <v>0.15</v>
      </c>
      <c r="E307" s="1064">
        <v>0.15</v>
      </c>
      <c r="F307" s="1065">
        <v>0.14299999999999999</v>
      </c>
    </row>
    <row r="308" spans="1:6" ht="16" thickBot="1">
      <c r="A308" s="840" t="s">
        <v>534</v>
      </c>
      <c r="B308" s="834" t="s">
        <v>371</v>
      </c>
      <c r="C308" s="1064">
        <v>0.15</v>
      </c>
      <c r="D308" s="1064">
        <v>0.15</v>
      </c>
      <c r="E308" s="1064">
        <v>0.15</v>
      </c>
      <c r="F308" s="1065">
        <v>0.15</v>
      </c>
    </row>
    <row r="309" spans="1:6" ht="16" thickBot="1">
      <c r="A309" s="840" t="s">
        <v>534</v>
      </c>
      <c r="B309" s="834" t="s">
        <v>381</v>
      </c>
      <c r="C309" s="1064">
        <v>0.15</v>
      </c>
      <c r="D309" s="1064">
        <v>0.15</v>
      </c>
      <c r="E309" s="1064">
        <v>0.15</v>
      </c>
      <c r="F309" s="1076"/>
    </row>
    <row r="310" spans="1:6" ht="16" thickBot="1">
      <c r="A310" s="840" t="s">
        <v>534</v>
      </c>
      <c r="B310" s="834" t="s">
        <v>998</v>
      </c>
      <c r="C310" s="1064">
        <v>0.15</v>
      </c>
      <c r="D310" s="1064">
        <v>0.15</v>
      </c>
      <c r="E310" s="1064">
        <v>0.15</v>
      </c>
      <c r="F310" s="1065">
        <v>0.13700000000000001</v>
      </c>
    </row>
    <row r="311" spans="1:6" ht="16" thickBot="1">
      <c r="A311" s="840" t="s">
        <v>534</v>
      </c>
      <c r="B311" s="834" t="s">
        <v>999</v>
      </c>
      <c r="C311" s="1064">
        <v>0.15</v>
      </c>
      <c r="D311" s="1064">
        <v>0.15</v>
      </c>
      <c r="E311" s="1064">
        <v>0.15</v>
      </c>
      <c r="F311" s="1065">
        <v>0.15</v>
      </c>
    </row>
    <row r="312" spans="1:6" ht="16" thickBot="1">
      <c r="A312" s="840" t="s">
        <v>534</v>
      </c>
      <c r="B312" s="834" t="s">
        <v>407</v>
      </c>
      <c r="C312" s="1064">
        <v>0.15</v>
      </c>
      <c r="D312" s="1064">
        <v>0.15</v>
      </c>
      <c r="E312" s="1064">
        <v>0.15</v>
      </c>
      <c r="F312" s="1065">
        <v>0.1</v>
      </c>
    </row>
    <row r="313" spans="1:6" ht="16" thickBot="1">
      <c r="A313" s="840" t="s">
        <v>534</v>
      </c>
      <c r="B313" s="834" t="s">
        <v>1000</v>
      </c>
      <c r="C313" s="1064">
        <v>0.15</v>
      </c>
      <c r="D313" s="1064">
        <v>0.15</v>
      </c>
      <c r="E313" s="1064">
        <v>0.15</v>
      </c>
      <c r="F313" s="1065">
        <v>0.15</v>
      </c>
    </row>
    <row r="314" spans="1:6" ht="31" thickBot="1">
      <c r="A314" s="840" t="s">
        <v>534</v>
      </c>
      <c r="B314" s="834" t="s">
        <v>1001</v>
      </c>
      <c r="C314" s="1077"/>
      <c r="D314" s="1077"/>
      <c r="E314" s="1077"/>
      <c r="F314" s="1065">
        <v>0.05</v>
      </c>
    </row>
    <row r="315" spans="1:6" ht="31" thickBot="1">
      <c r="A315" s="840" t="s">
        <v>534</v>
      </c>
      <c r="B315" s="834" t="s">
        <v>1002</v>
      </c>
      <c r="C315" s="1077"/>
      <c r="D315" s="1077"/>
      <c r="E315" s="1077"/>
      <c r="F315" s="1065">
        <v>0.05</v>
      </c>
    </row>
    <row r="316" spans="1:6" ht="31" thickBot="1">
      <c r="A316" s="850" t="s">
        <v>534</v>
      </c>
      <c r="B316" s="846" t="s">
        <v>1003</v>
      </c>
      <c r="C316" s="1074"/>
      <c r="D316" s="1074"/>
      <c r="E316" s="1074"/>
      <c r="F316" s="1067">
        <v>0.05</v>
      </c>
    </row>
    <row r="317" spans="1:6" ht="16" thickBot="1">
      <c r="A317" s="840" t="s">
        <v>1004</v>
      </c>
      <c r="B317" s="841" t="s">
        <v>1005</v>
      </c>
      <c r="C317" s="1062">
        <v>0.15</v>
      </c>
      <c r="D317" s="1062">
        <v>0.15</v>
      </c>
      <c r="E317" s="1062">
        <v>0.15</v>
      </c>
      <c r="F317" s="1063">
        <v>0.15</v>
      </c>
    </row>
    <row r="318" spans="1:6" ht="16" thickBot="1">
      <c r="A318" s="840" t="s">
        <v>1004</v>
      </c>
      <c r="B318" s="834" t="s">
        <v>1006</v>
      </c>
      <c r="C318" s="1064">
        <v>0.107</v>
      </c>
      <c r="D318" s="1064">
        <v>0.11</v>
      </c>
      <c r="E318" s="1064">
        <v>0.112</v>
      </c>
      <c r="F318" s="1076"/>
    </row>
    <row r="319" spans="1:6" ht="16" thickBot="1">
      <c r="A319" s="840" t="s">
        <v>1004</v>
      </c>
      <c r="B319" s="834" t="s">
        <v>1007</v>
      </c>
      <c r="C319" s="1064">
        <v>0.15</v>
      </c>
      <c r="D319" s="1064">
        <v>0.15</v>
      </c>
      <c r="E319" s="1064">
        <v>0.15</v>
      </c>
      <c r="F319" s="1065">
        <v>0.15</v>
      </c>
    </row>
    <row r="320" spans="1:6" ht="16" thickBot="1">
      <c r="A320" s="840" t="s">
        <v>1004</v>
      </c>
      <c r="B320" s="834" t="s">
        <v>223</v>
      </c>
      <c r="C320" s="1064">
        <v>0.15</v>
      </c>
      <c r="D320" s="1064">
        <v>0.15</v>
      </c>
      <c r="E320" s="1064">
        <v>0.15</v>
      </c>
      <c r="F320" s="1076"/>
    </row>
    <row r="321" spans="1:6" ht="16" thickBot="1">
      <c r="A321" s="840" t="s">
        <v>1004</v>
      </c>
      <c r="B321" s="834" t="s">
        <v>1008</v>
      </c>
      <c r="C321" s="1064">
        <v>0.15</v>
      </c>
      <c r="D321" s="1064">
        <v>0.15</v>
      </c>
      <c r="E321" s="1064">
        <v>0.15</v>
      </c>
      <c r="F321" s="1076"/>
    </row>
    <row r="322" spans="1:6" ht="16" thickBot="1">
      <c r="A322" s="840" t="s">
        <v>1004</v>
      </c>
      <c r="B322" s="834" t="s">
        <v>1009</v>
      </c>
      <c r="C322" s="1064">
        <v>0.15</v>
      </c>
      <c r="D322" s="1064">
        <v>0.15</v>
      </c>
      <c r="E322" s="1064">
        <v>0.15</v>
      </c>
      <c r="F322" s="1065">
        <v>0.15</v>
      </c>
    </row>
    <row r="323" spans="1:6" ht="16" thickBot="1">
      <c r="A323" s="840" t="s">
        <v>1004</v>
      </c>
      <c r="B323" s="834" t="s">
        <v>1010</v>
      </c>
      <c r="C323" s="1064">
        <v>0.15</v>
      </c>
      <c r="D323" s="1064">
        <v>0.15</v>
      </c>
      <c r="E323" s="1064">
        <v>0.15</v>
      </c>
      <c r="F323" s="1076"/>
    </row>
    <row r="324" spans="1:6" ht="16" thickBot="1">
      <c r="A324" s="840" t="s">
        <v>1004</v>
      </c>
      <c r="B324" s="834" t="s">
        <v>1011</v>
      </c>
      <c r="C324" s="1064">
        <v>0.15</v>
      </c>
      <c r="D324" s="1064">
        <v>0.15</v>
      </c>
      <c r="E324" s="1064">
        <v>0.15</v>
      </c>
      <c r="F324" s="1076"/>
    </row>
    <row r="325" spans="1:6" ht="16" thickBot="1">
      <c r="A325" s="840" t="s">
        <v>1004</v>
      </c>
      <c r="B325" s="834" t="s">
        <v>1012</v>
      </c>
      <c r="C325" s="1064">
        <v>0.15</v>
      </c>
      <c r="D325" s="1064">
        <v>0.15</v>
      </c>
      <c r="E325" s="1064">
        <v>0.15</v>
      </c>
      <c r="F325" s="1065">
        <v>0.14699999999999999</v>
      </c>
    </row>
    <row r="326" spans="1:6" ht="16" thickBot="1">
      <c r="A326" s="840" t="s">
        <v>1004</v>
      </c>
      <c r="B326" s="834" t="s">
        <v>290</v>
      </c>
      <c r="C326" s="1064">
        <v>0.15</v>
      </c>
      <c r="D326" s="1064">
        <v>0.15</v>
      </c>
      <c r="E326" s="1064">
        <v>0.15</v>
      </c>
      <c r="F326" s="1076"/>
    </row>
    <row r="327" spans="1:6" ht="16" thickBot="1">
      <c r="A327" s="840" t="s">
        <v>1004</v>
      </c>
      <c r="B327" s="834" t="s">
        <v>1013</v>
      </c>
      <c r="C327" s="1064">
        <v>0.15</v>
      </c>
      <c r="D327" s="1064">
        <v>0.15</v>
      </c>
      <c r="E327" s="1064">
        <v>0.15</v>
      </c>
      <c r="F327" s="1065">
        <v>0.15</v>
      </c>
    </row>
    <row r="328" spans="1:6" ht="16" thickBot="1">
      <c r="A328" s="840" t="s">
        <v>1004</v>
      </c>
      <c r="B328" s="834" t="s">
        <v>310</v>
      </c>
      <c r="C328" s="1064">
        <v>0.15</v>
      </c>
      <c r="D328" s="1064">
        <v>0.15</v>
      </c>
      <c r="E328" s="1064">
        <v>0.15</v>
      </c>
      <c r="F328" s="1065">
        <v>0.14099999999999999</v>
      </c>
    </row>
    <row r="329" spans="1:6" ht="16" thickBot="1">
      <c r="A329" s="840" t="s">
        <v>1004</v>
      </c>
      <c r="B329" s="834" t="s">
        <v>320</v>
      </c>
      <c r="C329" s="1064">
        <v>0.15</v>
      </c>
      <c r="D329" s="1064">
        <v>0.15</v>
      </c>
      <c r="E329" s="1064">
        <v>0.15</v>
      </c>
      <c r="F329" s="1065">
        <v>0.15</v>
      </c>
    </row>
    <row r="330" spans="1:6" ht="16" thickBot="1">
      <c r="A330" s="840" t="s">
        <v>1004</v>
      </c>
      <c r="B330" s="834" t="s">
        <v>331</v>
      </c>
      <c r="C330" s="1064">
        <v>0.15</v>
      </c>
      <c r="D330" s="1064">
        <v>0.15</v>
      </c>
      <c r="E330" s="1064">
        <v>0.15</v>
      </c>
      <c r="F330" s="1076"/>
    </row>
    <row r="331" spans="1:6" ht="16" thickBot="1">
      <c r="A331" s="840" t="s">
        <v>1004</v>
      </c>
      <c r="B331" s="834" t="s">
        <v>1014</v>
      </c>
      <c r="C331" s="1064">
        <v>0.15</v>
      </c>
      <c r="D331" s="1064">
        <v>0.15</v>
      </c>
      <c r="E331" s="1064">
        <v>0.15</v>
      </c>
      <c r="F331" s="1065">
        <v>0.15</v>
      </c>
    </row>
    <row r="332" spans="1:6" ht="16" thickBot="1">
      <c r="A332" s="840" t="s">
        <v>1004</v>
      </c>
      <c r="B332" s="834" t="s">
        <v>352</v>
      </c>
      <c r="C332" s="1064">
        <v>0.15</v>
      </c>
      <c r="D332" s="1064">
        <v>0.15</v>
      </c>
      <c r="E332" s="1064">
        <v>0.15</v>
      </c>
      <c r="F332" s="1065">
        <v>0.15</v>
      </c>
    </row>
    <row r="333" spans="1:6" ht="16" thickBot="1">
      <c r="A333" s="840" t="s">
        <v>1004</v>
      </c>
      <c r="B333" s="834" t="s">
        <v>1015</v>
      </c>
      <c r="C333" s="1064">
        <v>0.15</v>
      </c>
      <c r="D333" s="1064">
        <v>0.15</v>
      </c>
      <c r="E333" s="1064">
        <v>0.15</v>
      </c>
      <c r="F333" s="1065">
        <v>0.14099999999999999</v>
      </c>
    </row>
    <row r="334" spans="1:6" ht="16" thickBot="1">
      <c r="A334" s="840" t="s">
        <v>1004</v>
      </c>
      <c r="B334" s="834" t="s">
        <v>372</v>
      </c>
      <c r="C334" s="1064">
        <v>0.15</v>
      </c>
      <c r="D334" s="1064">
        <v>0.15</v>
      </c>
      <c r="E334" s="1064">
        <v>0.15</v>
      </c>
      <c r="F334" s="1065">
        <v>0.15</v>
      </c>
    </row>
    <row r="335" spans="1:6" ht="16" thickBot="1">
      <c r="A335" s="840" t="s">
        <v>1004</v>
      </c>
      <c r="B335" s="834" t="s">
        <v>382</v>
      </c>
      <c r="C335" s="1064">
        <v>0.15</v>
      </c>
      <c r="D335" s="1064">
        <v>0.15</v>
      </c>
      <c r="E335" s="1064">
        <v>0.15</v>
      </c>
      <c r="F335" s="1076"/>
    </row>
    <row r="336" spans="1:6" ht="16" thickBot="1">
      <c r="A336" s="840" t="s">
        <v>1004</v>
      </c>
      <c r="B336" s="834" t="s">
        <v>1016</v>
      </c>
      <c r="C336" s="1064">
        <v>0.15</v>
      </c>
      <c r="D336" s="1064">
        <v>0.15</v>
      </c>
      <c r="E336" s="1064">
        <v>0.15</v>
      </c>
      <c r="F336" s="1065">
        <v>0.11799999999999999</v>
      </c>
    </row>
    <row r="337" spans="1:6" ht="16" thickBot="1">
      <c r="A337" s="850" t="s">
        <v>1004</v>
      </c>
      <c r="B337" s="846" t="s">
        <v>400</v>
      </c>
      <c r="C337" s="1074"/>
      <c r="D337" s="1074"/>
      <c r="E337" s="1074"/>
      <c r="F337" s="1067">
        <v>0.14299999999999999</v>
      </c>
    </row>
    <row r="338" spans="1:6" ht="16" thickBot="1">
      <c r="A338" s="840" t="s">
        <v>1017</v>
      </c>
      <c r="B338" s="841" t="s">
        <v>1018</v>
      </c>
      <c r="C338" s="1062">
        <v>0.15</v>
      </c>
      <c r="D338" s="1062">
        <v>0.15</v>
      </c>
      <c r="E338" s="1062">
        <v>0.15</v>
      </c>
      <c r="F338" s="1079"/>
    </row>
    <row r="339" spans="1:6" ht="16" thickBot="1">
      <c r="A339" s="840" t="s">
        <v>1017</v>
      </c>
      <c r="B339" s="834" t="s">
        <v>1019</v>
      </c>
      <c r="C339" s="1064">
        <v>0.15</v>
      </c>
      <c r="D339" s="1064">
        <v>0.15</v>
      </c>
      <c r="E339" s="1064">
        <v>0.15</v>
      </c>
      <c r="F339" s="1076"/>
    </row>
    <row r="340" spans="1:6" ht="16" thickBot="1">
      <c r="A340" s="840" t="s">
        <v>1017</v>
      </c>
      <c r="B340" s="834" t="s">
        <v>1020</v>
      </c>
      <c r="C340" s="1064">
        <v>0.15</v>
      </c>
      <c r="D340" s="1064">
        <v>0.15</v>
      </c>
      <c r="E340" s="1064">
        <v>0.15</v>
      </c>
      <c r="F340" s="1076"/>
    </row>
    <row r="341" spans="1:6" ht="16" thickBot="1">
      <c r="A341" s="840" t="s">
        <v>1017</v>
      </c>
      <c r="B341" s="834" t="s">
        <v>1021</v>
      </c>
      <c r="C341" s="1064">
        <v>0.15</v>
      </c>
      <c r="D341" s="1064">
        <v>0.15</v>
      </c>
      <c r="E341" s="1064">
        <v>0.15</v>
      </c>
      <c r="F341" s="1065">
        <v>0.15</v>
      </c>
    </row>
    <row r="342" spans="1:6" ht="16" thickBot="1">
      <c r="A342" s="840" t="s">
        <v>1017</v>
      </c>
      <c r="B342" s="834" t="s">
        <v>1022</v>
      </c>
      <c r="C342" s="1064">
        <v>0.15</v>
      </c>
      <c r="D342" s="1064">
        <v>0.15</v>
      </c>
      <c r="E342" s="1064">
        <v>0.15</v>
      </c>
      <c r="F342" s="1065">
        <v>0.15</v>
      </c>
    </row>
    <row r="343" spans="1:6" ht="16" thickBot="1">
      <c r="A343" s="840" t="s">
        <v>1017</v>
      </c>
      <c r="B343" s="834" t="s">
        <v>1023</v>
      </c>
      <c r="C343" s="1064">
        <v>0.15</v>
      </c>
      <c r="D343" s="1064">
        <v>0.15</v>
      </c>
      <c r="E343" s="1064">
        <v>0.15</v>
      </c>
      <c r="F343" s="1065">
        <v>0.15</v>
      </c>
    </row>
    <row r="344" spans="1:6" ht="16"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63"/>
  <sheetViews>
    <sheetView workbookViewId="0">
      <selection activeCell="I1" sqref="I1"/>
    </sheetView>
  </sheetViews>
  <sheetFormatPr baseColWidth="10" defaultColWidth="8.83203125" defaultRowHeight="14"/>
  <cols>
    <col min="1" max="1" width="4.83203125" style="1637" customWidth="1"/>
    <col min="2" max="2" width="13.1640625" style="1643" customWidth="1"/>
    <col min="3" max="3" width="15.6640625" style="1643" customWidth="1"/>
    <col min="4" max="4" width="9.33203125" style="1643" bestFit="1" customWidth="1"/>
    <col min="5" max="5" width="13.5" style="1643" customWidth="1"/>
    <col min="6" max="6" width="9" style="1643"/>
    <col min="7" max="7" width="9.33203125" style="1643" bestFit="1" customWidth="1"/>
    <col min="8" max="8" width="12.1640625" style="1643" customWidth="1"/>
    <col min="9" max="9" width="9" style="1643"/>
    <col min="10" max="10" width="9.33203125" style="1643" bestFit="1" customWidth="1"/>
    <col min="11" max="11" width="4" style="1637" customWidth="1"/>
    <col min="12" max="12" width="5.1640625" style="1643" customWidth="1"/>
    <col min="13" max="13" width="13.83203125" style="1643" customWidth="1"/>
    <col min="14" max="256" width="9" style="1643"/>
    <col min="257" max="257" width="4.83203125" style="1634" customWidth="1"/>
    <col min="258" max="258" width="13.1640625" style="1634" customWidth="1"/>
    <col min="259" max="259" width="15.6640625" style="1634" customWidth="1"/>
    <col min="260" max="260" width="9.33203125" style="1634" bestFit="1" customWidth="1"/>
    <col min="261" max="261" width="13.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640625" style="1634" customWidth="1"/>
    <col min="269" max="269" width="13.83203125" style="1634" customWidth="1"/>
    <col min="270" max="512" width="9" style="1634"/>
    <col min="513" max="513" width="4.83203125" style="1634" customWidth="1"/>
    <col min="514" max="514" width="13.1640625" style="1634" customWidth="1"/>
    <col min="515" max="515" width="15.6640625" style="1634" customWidth="1"/>
    <col min="516" max="516" width="9.33203125" style="1634" bestFit="1" customWidth="1"/>
    <col min="517" max="517" width="13.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640625" style="1634" customWidth="1"/>
    <col min="525" max="525" width="13.83203125" style="1634" customWidth="1"/>
    <col min="526" max="768" width="9" style="1634"/>
    <col min="769" max="769" width="4.83203125" style="1634" customWidth="1"/>
    <col min="770" max="770" width="13.1640625" style="1634" customWidth="1"/>
    <col min="771" max="771" width="15.6640625" style="1634" customWidth="1"/>
    <col min="772" max="772" width="9.33203125" style="1634" bestFit="1" customWidth="1"/>
    <col min="773" max="773" width="13.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640625" style="1634" customWidth="1"/>
    <col min="781" max="781" width="13.83203125" style="1634" customWidth="1"/>
    <col min="782" max="1024" width="9" style="1634"/>
    <col min="1025" max="1025" width="4.83203125" style="1634" customWidth="1"/>
    <col min="1026" max="1026" width="13.1640625" style="1634" customWidth="1"/>
    <col min="1027" max="1027" width="15.6640625" style="1634" customWidth="1"/>
    <col min="1028" max="1028" width="9.33203125" style="1634" bestFit="1" customWidth="1"/>
    <col min="1029" max="1029" width="13.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640625" style="1634" customWidth="1"/>
    <col min="1037" max="1037" width="13.83203125" style="1634" customWidth="1"/>
    <col min="1038" max="1280" width="9" style="1634"/>
    <col min="1281" max="1281" width="4.83203125" style="1634" customWidth="1"/>
    <col min="1282" max="1282" width="13.1640625" style="1634" customWidth="1"/>
    <col min="1283" max="1283" width="15.6640625" style="1634" customWidth="1"/>
    <col min="1284" max="1284" width="9.33203125" style="1634" bestFit="1" customWidth="1"/>
    <col min="1285" max="1285" width="13.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640625" style="1634" customWidth="1"/>
    <col min="1293" max="1293" width="13.83203125" style="1634" customWidth="1"/>
    <col min="1294" max="1536" width="9" style="1634"/>
    <col min="1537" max="1537" width="4.83203125" style="1634" customWidth="1"/>
    <col min="1538" max="1538" width="13.1640625" style="1634" customWidth="1"/>
    <col min="1539" max="1539" width="15.6640625" style="1634" customWidth="1"/>
    <col min="1540" max="1540" width="9.33203125" style="1634" bestFit="1" customWidth="1"/>
    <col min="1541" max="1541" width="13.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640625" style="1634" customWidth="1"/>
    <col min="1549" max="1549" width="13.83203125" style="1634" customWidth="1"/>
    <col min="1550" max="1792" width="9" style="1634"/>
    <col min="1793" max="1793" width="4.83203125" style="1634" customWidth="1"/>
    <col min="1794" max="1794" width="13.1640625" style="1634" customWidth="1"/>
    <col min="1795" max="1795" width="15.6640625" style="1634" customWidth="1"/>
    <col min="1796" max="1796" width="9.33203125" style="1634" bestFit="1" customWidth="1"/>
    <col min="1797" max="1797" width="13.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640625" style="1634" customWidth="1"/>
    <col min="1805" max="1805" width="13.83203125" style="1634" customWidth="1"/>
    <col min="1806" max="2048" width="9" style="1634"/>
    <col min="2049" max="2049" width="4.83203125" style="1634" customWidth="1"/>
    <col min="2050" max="2050" width="13.1640625" style="1634" customWidth="1"/>
    <col min="2051" max="2051" width="15.6640625" style="1634" customWidth="1"/>
    <col min="2052" max="2052" width="9.33203125" style="1634" bestFit="1" customWidth="1"/>
    <col min="2053" max="2053" width="13.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640625" style="1634" customWidth="1"/>
    <col min="2061" max="2061" width="13.83203125" style="1634" customWidth="1"/>
    <col min="2062" max="2304" width="9" style="1634"/>
    <col min="2305" max="2305" width="4.83203125" style="1634" customWidth="1"/>
    <col min="2306" max="2306" width="13.1640625" style="1634" customWidth="1"/>
    <col min="2307" max="2307" width="15.6640625" style="1634" customWidth="1"/>
    <col min="2308" max="2308" width="9.33203125" style="1634" bestFit="1" customWidth="1"/>
    <col min="2309" max="2309" width="13.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640625" style="1634" customWidth="1"/>
    <col min="2317" max="2317" width="13.83203125" style="1634" customWidth="1"/>
    <col min="2318" max="2560" width="9" style="1634"/>
    <col min="2561" max="2561" width="4.83203125" style="1634" customWidth="1"/>
    <col min="2562" max="2562" width="13.1640625" style="1634" customWidth="1"/>
    <col min="2563" max="2563" width="15.6640625" style="1634" customWidth="1"/>
    <col min="2564" max="2564" width="9.33203125" style="1634" bestFit="1" customWidth="1"/>
    <col min="2565" max="2565" width="13.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640625" style="1634" customWidth="1"/>
    <col min="2573" max="2573" width="13.83203125" style="1634" customWidth="1"/>
    <col min="2574" max="2816" width="9" style="1634"/>
    <col min="2817" max="2817" width="4.83203125" style="1634" customWidth="1"/>
    <col min="2818" max="2818" width="13.1640625" style="1634" customWidth="1"/>
    <col min="2819" max="2819" width="15.6640625" style="1634" customWidth="1"/>
    <col min="2820" max="2820" width="9.33203125" style="1634" bestFit="1" customWidth="1"/>
    <col min="2821" max="2821" width="13.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640625" style="1634" customWidth="1"/>
    <col min="2829" max="2829" width="13.83203125" style="1634" customWidth="1"/>
    <col min="2830" max="3072" width="9" style="1634"/>
    <col min="3073" max="3073" width="4.83203125" style="1634" customWidth="1"/>
    <col min="3074" max="3074" width="13.1640625" style="1634" customWidth="1"/>
    <col min="3075" max="3075" width="15.6640625" style="1634" customWidth="1"/>
    <col min="3076" max="3076" width="9.33203125" style="1634" bestFit="1" customWidth="1"/>
    <col min="3077" max="3077" width="13.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640625" style="1634" customWidth="1"/>
    <col min="3085" max="3085" width="13.83203125" style="1634" customWidth="1"/>
    <col min="3086" max="3328" width="9" style="1634"/>
    <col min="3329" max="3329" width="4.83203125" style="1634" customWidth="1"/>
    <col min="3330" max="3330" width="13.1640625" style="1634" customWidth="1"/>
    <col min="3331" max="3331" width="15.6640625" style="1634" customWidth="1"/>
    <col min="3332" max="3332" width="9.33203125" style="1634" bestFit="1" customWidth="1"/>
    <col min="3333" max="3333" width="13.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640625" style="1634" customWidth="1"/>
    <col min="3341" max="3341" width="13.83203125" style="1634" customWidth="1"/>
    <col min="3342" max="3584" width="9" style="1634"/>
    <col min="3585" max="3585" width="4.83203125" style="1634" customWidth="1"/>
    <col min="3586" max="3586" width="13.1640625" style="1634" customWidth="1"/>
    <col min="3587" max="3587" width="15.6640625" style="1634" customWidth="1"/>
    <col min="3588" max="3588" width="9.33203125" style="1634" bestFit="1" customWidth="1"/>
    <col min="3589" max="3589" width="13.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640625" style="1634" customWidth="1"/>
    <col min="3597" max="3597" width="13.83203125" style="1634" customWidth="1"/>
    <col min="3598" max="3840" width="9" style="1634"/>
    <col min="3841" max="3841" width="4.83203125" style="1634" customWidth="1"/>
    <col min="3842" max="3842" width="13.1640625" style="1634" customWidth="1"/>
    <col min="3843" max="3843" width="15.6640625" style="1634" customWidth="1"/>
    <col min="3844" max="3844" width="9.33203125" style="1634" bestFit="1" customWidth="1"/>
    <col min="3845" max="3845" width="13.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640625" style="1634" customWidth="1"/>
    <col min="3853" max="3853" width="13.83203125" style="1634" customWidth="1"/>
    <col min="3854" max="4096" width="9" style="1634"/>
    <col min="4097" max="4097" width="4.83203125" style="1634" customWidth="1"/>
    <col min="4098" max="4098" width="13.1640625" style="1634" customWidth="1"/>
    <col min="4099" max="4099" width="15.6640625" style="1634" customWidth="1"/>
    <col min="4100" max="4100" width="9.33203125" style="1634" bestFit="1" customWidth="1"/>
    <col min="4101" max="4101" width="13.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640625" style="1634" customWidth="1"/>
    <col min="4109" max="4109" width="13.83203125" style="1634" customWidth="1"/>
    <col min="4110" max="4352" width="9" style="1634"/>
    <col min="4353" max="4353" width="4.83203125" style="1634" customWidth="1"/>
    <col min="4354" max="4354" width="13.1640625" style="1634" customWidth="1"/>
    <col min="4355" max="4355" width="15.6640625" style="1634" customWidth="1"/>
    <col min="4356" max="4356" width="9.33203125" style="1634" bestFit="1" customWidth="1"/>
    <col min="4357" max="4357" width="13.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640625" style="1634" customWidth="1"/>
    <col min="4365" max="4365" width="13.83203125" style="1634" customWidth="1"/>
    <col min="4366" max="4608" width="9" style="1634"/>
    <col min="4609" max="4609" width="4.83203125" style="1634" customWidth="1"/>
    <col min="4610" max="4610" width="13.1640625" style="1634" customWidth="1"/>
    <col min="4611" max="4611" width="15.6640625" style="1634" customWidth="1"/>
    <col min="4612" max="4612" width="9.33203125" style="1634" bestFit="1" customWidth="1"/>
    <col min="4613" max="4613" width="13.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640625" style="1634" customWidth="1"/>
    <col min="4621" max="4621" width="13.83203125" style="1634" customWidth="1"/>
    <col min="4622" max="4864" width="9" style="1634"/>
    <col min="4865" max="4865" width="4.83203125" style="1634" customWidth="1"/>
    <col min="4866" max="4866" width="13.1640625" style="1634" customWidth="1"/>
    <col min="4867" max="4867" width="15.6640625" style="1634" customWidth="1"/>
    <col min="4868" max="4868" width="9.33203125" style="1634" bestFit="1" customWidth="1"/>
    <col min="4869" max="4869" width="13.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640625" style="1634" customWidth="1"/>
    <col min="4877" max="4877" width="13.83203125" style="1634" customWidth="1"/>
    <col min="4878" max="5120" width="9" style="1634"/>
    <col min="5121" max="5121" width="4.83203125" style="1634" customWidth="1"/>
    <col min="5122" max="5122" width="13.1640625" style="1634" customWidth="1"/>
    <col min="5123" max="5123" width="15.6640625" style="1634" customWidth="1"/>
    <col min="5124" max="5124" width="9.33203125" style="1634" bestFit="1" customWidth="1"/>
    <col min="5125" max="5125" width="13.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640625" style="1634" customWidth="1"/>
    <col min="5133" max="5133" width="13.83203125" style="1634" customWidth="1"/>
    <col min="5134" max="5376" width="9" style="1634"/>
    <col min="5377" max="5377" width="4.83203125" style="1634" customWidth="1"/>
    <col min="5378" max="5378" width="13.1640625" style="1634" customWidth="1"/>
    <col min="5379" max="5379" width="15.6640625" style="1634" customWidth="1"/>
    <col min="5380" max="5380" width="9.33203125" style="1634" bestFit="1" customWidth="1"/>
    <col min="5381" max="5381" width="13.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640625" style="1634" customWidth="1"/>
    <col min="5389" max="5389" width="13.83203125" style="1634" customWidth="1"/>
    <col min="5390" max="5632" width="9" style="1634"/>
    <col min="5633" max="5633" width="4.83203125" style="1634" customWidth="1"/>
    <col min="5634" max="5634" width="13.1640625" style="1634" customWidth="1"/>
    <col min="5635" max="5635" width="15.6640625" style="1634" customWidth="1"/>
    <col min="5636" max="5636" width="9.33203125" style="1634" bestFit="1" customWidth="1"/>
    <col min="5637" max="5637" width="13.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640625" style="1634" customWidth="1"/>
    <col min="5645" max="5645" width="13.83203125" style="1634" customWidth="1"/>
    <col min="5646" max="5888" width="9" style="1634"/>
    <col min="5889" max="5889" width="4.83203125" style="1634" customWidth="1"/>
    <col min="5890" max="5890" width="13.1640625" style="1634" customWidth="1"/>
    <col min="5891" max="5891" width="15.6640625" style="1634" customWidth="1"/>
    <col min="5892" max="5892" width="9.33203125" style="1634" bestFit="1" customWidth="1"/>
    <col min="5893" max="5893" width="13.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640625" style="1634" customWidth="1"/>
    <col min="5901" max="5901" width="13.83203125" style="1634" customWidth="1"/>
    <col min="5902" max="6144" width="9" style="1634"/>
    <col min="6145" max="6145" width="4.83203125" style="1634" customWidth="1"/>
    <col min="6146" max="6146" width="13.1640625" style="1634" customWidth="1"/>
    <col min="6147" max="6147" width="15.6640625" style="1634" customWidth="1"/>
    <col min="6148" max="6148" width="9.33203125" style="1634" bestFit="1" customWidth="1"/>
    <col min="6149" max="6149" width="13.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640625" style="1634" customWidth="1"/>
    <col min="6157" max="6157" width="13.83203125" style="1634" customWidth="1"/>
    <col min="6158" max="6400" width="9" style="1634"/>
    <col min="6401" max="6401" width="4.83203125" style="1634" customWidth="1"/>
    <col min="6402" max="6402" width="13.1640625" style="1634" customWidth="1"/>
    <col min="6403" max="6403" width="15.6640625" style="1634" customWidth="1"/>
    <col min="6404" max="6404" width="9.33203125" style="1634" bestFit="1" customWidth="1"/>
    <col min="6405" max="6405" width="13.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640625" style="1634" customWidth="1"/>
    <col min="6413" max="6413" width="13.83203125" style="1634" customWidth="1"/>
    <col min="6414" max="6656" width="9" style="1634"/>
    <col min="6657" max="6657" width="4.83203125" style="1634" customWidth="1"/>
    <col min="6658" max="6658" width="13.1640625" style="1634" customWidth="1"/>
    <col min="6659" max="6659" width="15.6640625" style="1634" customWidth="1"/>
    <col min="6660" max="6660" width="9.33203125" style="1634" bestFit="1" customWidth="1"/>
    <col min="6661" max="6661" width="13.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640625" style="1634" customWidth="1"/>
    <col min="6669" max="6669" width="13.83203125" style="1634" customWidth="1"/>
    <col min="6670" max="6912" width="9" style="1634"/>
    <col min="6913" max="6913" width="4.83203125" style="1634" customWidth="1"/>
    <col min="6914" max="6914" width="13.1640625" style="1634" customWidth="1"/>
    <col min="6915" max="6915" width="15.6640625" style="1634" customWidth="1"/>
    <col min="6916" max="6916" width="9.33203125" style="1634" bestFit="1" customWidth="1"/>
    <col min="6917" max="6917" width="13.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640625" style="1634" customWidth="1"/>
    <col min="6925" max="6925" width="13.83203125" style="1634" customWidth="1"/>
    <col min="6926" max="7168" width="9" style="1634"/>
    <col min="7169" max="7169" width="4.83203125" style="1634" customWidth="1"/>
    <col min="7170" max="7170" width="13.1640625" style="1634" customWidth="1"/>
    <col min="7171" max="7171" width="15.6640625" style="1634" customWidth="1"/>
    <col min="7172" max="7172" width="9.33203125" style="1634" bestFit="1" customWidth="1"/>
    <col min="7173" max="7173" width="13.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640625" style="1634" customWidth="1"/>
    <col min="7181" max="7181" width="13.83203125" style="1634" customWidth="1"/>
    <col min="7182" max="7424" width="9" style="1634"/>
    <col min="7425" max="7425" width="4.83203125" style="1634" customWidth="1"/>
    <col min="7426" max="7426" width="13.1640625" style="1634" customWidth="1"/>
    <col min="7427" max="7427" width="15.6640625" style="1634" customWidth="1"/>
    <col min="7428" max="7428" width="9.33203125" style="1634" bestFit="1" customWidth="1"/>
    <col min="7429" max="7429" width="13.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640625" style="1634" customWidth="1"/>
    <col min="7437" max="7437" width="13.83203125" style="1634" customWidth="1"/>
    <col min="7438" max="7680" width="9" style="1634"/>
    <col min="7681" max="7681" width="4.83203125" style="1634" customWidth="1"/>
    <col min="7682" max="7682" width="13.1640625" style="1634" customWidth="1"/>
    <col min="7683" max="7683" width="15.6640625" style="1634" customWidth="1"/>
    <col min="7684" max="7684" width="9.33203125" style="1634" bestFit="1" customWidth="1"/>
    <col min="7685" max="7685" width="13.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640625" style="1634" customWidth="1"/>
    <col min="7693" max="7693" width="13.83203125" style="1634" customWidth="1"/>
    <col min="7694" max="7936" width="9" style="1634"/>
    <col min="7937" max="7937" width="4.83203125" style="1634" customWidth="1"/>
    <col min="7938" max="7938" width="13.1640625" style="1634" customWidth="1"/>
    <col min="7939" max="7939" width="15.6640625" style="1634" customWidth="1"/>
    <col min="7940" max="7940" width="9.33203125" style="1634" bestFit="1" customWidth="1"/>
    <col min="7941" max="7941" width="13.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640625" style="1634" customWidth="1"/>
    <col min="7949" max="7949" width="13.83203125" style="1634" customWidth="1"/>
    <col min="7950" max="8192" width="9" style="1634"/>
    <col min="8193" max="8193" width="4.83203125" style="1634" customWidth="1"/>
    <col min="8194" max="8194" width="13.1640625" style="1634" customWidth="1"/>
    <col min="8195" max="8195" width="15.6640625" style="1634" customWidth="1"/>
    <col min="8196" max="8196" width="9.33203125" style="1634" bestFit="1" customWidth="1"/>
    <col min="8197" max="8197" width="13.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640625" style="1634" customWidth="1"/>
    <col min="8205" max="8205" width="13.83203125" style="1634" customWidth="1"/>
    <col min="8206" max="8448" width="9" style="1634"/>
    <col min="8449" max="8449" width="4.83203125" style="1634" customWidth="1"/>
    <col min="8450" max="8450" width="13.1640625" style="1634" customWidth="1"/>
    <col min="8451" max="8451" width="15.6640625" style="1634" customWidth="1"/>
    <col min="8452" max="8452" width="9.33203125" style="1634" bestFit="1" customWidth="1"/>
    <col min="8453" max="8453" width="13.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640625" style="1634" customWidth="1"/>
    <col min="8461" max="8461" width="13.83203125" style="1634" customWidth="1"/>
    <col min="8462" max="8704" width="9" style="1634"/>
    <col min="8705" max="8705" width="4.83203125" style="1634" customWidth="1"/>
    <col min="8706" max="8706" width="13.1640625" style="1634" customWidth="1"/>
    <col min="8707" max="8707" width="15.6640625" style="1634" customWidth="1"/>
    <col min="8708" max="8708" width="9.33203125" style="1634" bestFit="1" customWidth="1"/>
    <col min="8709" max="8709" width="13.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640625" style="1634" customWidth="1"/>
    <col min="8717" max="8717" width="13.83203125" style="1634" customWidth="1"/>
    <col min="8718" max="8960" width="9" style="1634"/>
    <col min="8961" max="8961" width="4.83203125" style="1634" customWidth="1"/>
    <col min="8962" max="8962" width="13.1640625" style="1634" customWidth="1"/>
    <col min="8963" max="8963" width="15.6640625" style="1634" customWidth="1"/>
    <col min="8964" max="8964" width="9.33203125" style="1634" bestFit="1" customWidth="1"/>
    <col min="8965" max="8965" width="13.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640625" style="1634" customWidth="1"/>
    <col min="8973" max="8973" width="13.83203125" style="1634" customWidth="1"/>
    <col min="8974" max="9216" width="9" style="1634"/>
    <col min="9217" max="9217" width="4.83203125" style="1634" customWidth="1"/>
    <col min="9218" max="9218" width="13.1640625" style="1634" customWidth="1"/>
    <col min="9219" max="9219" width="15.6640625" style="1634" customWidth="1"/>
    <col min="9220" max="9220" width="9.33203125" style="1634" bestFit="1" customWidth="1"/>
    <col min="9221" max="9221" width="13.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640625" style="1634" customWidth="1"/>
    <col min="9229" max="9229" width="13.83203125" style="1634" customWidth="1"/>
    <col min="9230" max="9472" width="9" style="1634"/>
    <col min="9473" max="9473" width="4.83203125" style="1634" customWidth="1"/>
    <col min="9474" max="9474" width="13.1640625" style="1634" customWidth="1"/>
    <col min="9475" max="9475" width="15.6640625" style="1634" customWidth="1"/>
    <col min="9476" max="9476" width="9.33203125" style="1634" bestFit="1" customWidth="1"/>
    <col min="9477" max="9477" width="13.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640625" style="1634" customWidth="1"/>
    <col min="9485" max="9485" width="13.83203125" style="1634" customWidth="1"/>
    <col min="9486" max="9728" width="9" style="1634"/>
    <col min="9729" max="9729" width="4.83203125" style="1634" customWidth="1"/>
    <col min="9730" max="9730" width="13.1640625" style="1634" customWidth="1"/>
    <col min="9731" max="9731" width="15.6640625" style="1634" customWidth="1"/>
    <col min="9732" max="9732" width="9.33203125" style="1634" bestFit="1" customWidth="1"/>
    <col min="9733" max="9733" width="13.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640625" style="1634" customWidth="1"/>
    <col min="9741" max="9741" width="13.83203125" style="1634" customWidth="1"/>
    <col min="9742" max="9984" width="9" style="1634"/>
    <col min="9985" max="9985" width="4.83203125" style="1634" customWidth="1"/>
    <col min="9986" max="9986" width="13.1640625" style="1634" customWidth="1"/>
    <col min="9987" max="9987" width="15.6640625" style="1634" customWidth="1"/>
    <col min="9988" max="9988" width="9.33203125" style="1634" bestFit="1" customWidth="1"/>
    <col min="9989" max="9989" width="13.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640625" style="1634" customWidth="1"/>
    <col min="9997" max="9997" width="13.83203125" style="1634" customWidth="1"/>
    <col min="9998" max="10240" width="9" style="1634"/>
    <col min="10241" max="10241" width="4.83203125" style="1634" customWidth="1"/>
    <col min="10242" max="10242" width="13.1640625" style="1634" customWidth="1"/>
    <col min="10243" max="10243" width="15.6640625" style="1634" customWidth="1"/>
    <col min="10244" max="10244" width="9.33203125" style="1634" bestFit="1" customWidth="1"/>
    <col min="10245" max="10245" width="13.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640625" style="1634" customWidth="1"/>
    <col min="10253" max="10253" width="13.83203125" style="1634" customWidth="1"/>
    <col min="10254" max="10496" width="9" style="1634"/>
    <col min="10497" max="10497" width="4.83203125" style="1634" customWidth="1"/>
    <col min="10498" max="10498" width="13.1640625" style="1634" customWidth="1"/>
    <col min="10499" max="10499" width="15.6640625" style="1634" customWidth="1"/>
    <col min="10500" max="10500" width="9.33203125" style="1634" bestFit="1" customWidth="1"/>
    <col min="10501" max="10501" width="13.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640625" style="1634" customWidth="1"/>
    <col min="10509" max="10509" width="13.83203125" style="1634" customWidth="1"/>
    <col min="10510" max="10752" width="9" style="1634"/>
    <col min="10753" max="10753" width="4.83203125" style="1634" customWidth="1"/>
    <col min="10754" max="10754" width="13.1640625" style="1634" customWidth="1"/>
    <col min="10755" max="10755" width="15.6640625" style="1634" customWidth="1"/>
    <col min="10756" max="10756" width="9.33203125" style="1634" bestFit="1" customWidth="1"/>
    <col min="10757" max="10757" width="13.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640625" style="1634" customWidth="1"/>
    <col min="10765" max="10765" width="13.83203125" style="1634" customWidth="1"/>
    <col min="10766" max="11008" width="9" style="1634"/>
    <col min="11009" max="11009" width="4.83203125" style="1634" customWidth="1"/>
    <col min="11010" max="11010" width="13.1640625" style="1634" customWidth="1"/>
    <col min="11011" max="11011" width="15.6640625" style="1634" customWidth="1"/>
    <col min="11012" max="11012" width="9.33203125" style="1634" bestFit="1" customWidth="1"/>
    <col min="11013" max="11013" width="13.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640625" style="1634" customWidth="1"/>
    <col min="11021" max="11021" width="13.83203125" style="1634" customWidth="1"/>
    <col min="11022" max="11264" width="9" style="1634"/>
    <col min="11265" max="11265" width="4.83203125" style="1634" customWidth="1"/>
    <col min="11266" max="11266" width="13.1640625" style="1634" customWidth="1"/>
    <col min="11267" max="11267" width="15.6640625" style="1634" customWidth="1"/>
    <col min="11268" max="11268" width="9.33203125" style="1634" bestFit="1" customWidth="1"/>
    <col min="11269" max="11269" width="13.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640625" style="1634" customWidth="1"/>
    <col min="11277" max="11277" width="13.83203125" style="1634" customWidth="1"/>
    <col min="11278" max="11520" width="9" style="1634"/>
    <col min="11521" max="11521" width="4.83203125" style="1634" customWidth="1"/>
    <col min="11522" max="11522" width="13.1640625" style="1634" customWidth="1"/>
    <col min="11523" max="11523" width="15.6640625" style="1634" customWidth="1"/>
    <col min="11524" max="11524" width="9.33203125" style="1634" bestFit="1" customWidth="1"/>
    <col min="11525" max="11525" width="13.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640625" style="1634" customWidth="1"/>
    <col min="11533" max="11533" width="13.83203125" style="1634" customWidth="1"/>
    <col min="11534" max="11776" width="9" style="1634"/>
    <col min="11777" max="11777" width="4.83203125" style="1634" customWidth="1"/>
    <col min="11778" max="11778" width="13.1640625" style="1634" customWidth="1"/>
    <col min="11779" max="11779" width="15.6640625" style="1634" customWidth="1"/>
    <col min="11780" max="11780" width="9.33203125" style="1634" bestFit="1" customWidth="1"/>
    <col min="11781" max="11781" width="13.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640625" style="1634" customWidth="1"/>
    <col min="11789" max="11789" width="13.83203125" style="1634" customWidth="1"/>
    <col min="11790" max="12032" width="9" style="1634"/>
    <col min="12033" max="12033" width="4.83203125" style="1634" customWidth="1"/>
    <col min="12034" max="12034" width="13.1640625" style="1634" customWidth="1"/>
    <col min="12035" max="12035" width="15.6640625" style="1634" customWidth="1"/>
    <col min="12036" max="12036" width="9.33203125" style="1634" bestFit="1" customWidth="1"/>
    <col min="12037" max="12037" width="13.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640625" style="1634" customWidth="1"/>
    <col min="12045" max="12045" width="13.83203125" style="1634" customWidth="1"/>
    <col min="12046" max="12288" width="9" style="1634"/>
    <col min="12289" max="12289" width="4.83203125" style="1634" customWidth="1"/>
    <col min="12290" max="12290" width="13.1640625" style="1634" customWidth="1"/>
    <col min="12291" max="12291" width="15.6640625" style="1634" customWidth="1"/>
    <col min="12292" max="12292" width="9.33203125" style="1634" bestFit="1" customWidth="1"/>
    <col min="12293" max="12293" width="13.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640625" style="1634" customWidth="1"/>
    <col min="12301" max="12301" width="13.83203125" style="1634" customWidth="1"/>
    <col min="12302" max="12544" width="9" style="1634"/>
    <col min="12545" max="12545" width="4.83203125" style="1634" customWidth="1"/>
    <col min="12546" max="12546" width="13.1640625" style="1634" customWidth="1"/>
    <col min="12547" max="12547" width="15.6640625" style="1634" customWidth="1"/>
    <col min="12548" max="12548" width="9.33203125" style="1634" bestFit="1" customWidth="1"/>
    <col min="12549" max="12549" width="13.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640625" style="1634" customWidth="1"/>
    <col min="12557" max="12557" width="13.83203125" style="1634" customWidth="1"/>
    <col min="12558" max="12800" width="9" style="1634"/>
    <col min="12801" max="12801" width="4.83203125" style="1634" customWidth="1"/>
    <col min="12802" max="12802" width="13.1640625" style="1634" customWidth="1"/>
    <col min="12803" max="12803" width="15.6640625" style="1634" customWidth="1"/>
    <col min="12804" max="12804" width="9.33203125" style="1634" bestFit="1" customWidth="1"/>
    <col min="12805" max="12805" width="13.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640625" style="1634" customWidth="1"/>
    <col min="12813" max="12813" width="13.83203125" style="1634" customWidth="1"/>
    <col min="12814" max="13056" width="9" style="1634"/>
    <col min="13057" max="13057" width="4.83203125" style="1634" customWidth="1"/>
    <col min="13058" max="13058" width="13.1640625" style="1634" customWidth="1"/>
    <col min="13059" max="13059" width="15.6640625" style="1634" customWidth="1"/>
    <col min="13060" max="13060" width="9.33203125" style="1634" bestFit="1" customWidth="1"/>
    <col min="13061" max="13061" width="13.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640625" style="1634" customWidth="1"/>
    <col min="13069" max="13069" width="13.83203125" style="1634" customWidth="1"/>
    <col min="13070" max="13312" width="9" style="1634"/>
    <col min="13313" max="13313" width="4.83203125" style="1634" customWidth="1"/>
    <col min="13314" max="13314" width="13.1640625" style="1634" customWidth="1"/>
    <col min="13315" max="13315" width="15.6640625" style="1634" customWidth="1"/>
    <col min="13316" max="13316" width="9.33203125" style="1634" bestFit="1" customWidth="1"/>
    <col min="13317" max="13317" width="13.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640625" style="1634" customWidth="1"/>
    <col min="13325" max="13325" width="13.83203125" style="1634" customWidth="1"/>
    <col min="13326" max="13568" width="9" style="1634"/>
    <col min="13569" max="13569" width="4.83203125" style="1634" customWidth="1"/>
    <col min="13570" max="13570" width="13.1640625" style="1634" customWidth="1"/>
    <col min="13571" max="13571" width="15.6640625" style="1634" customWidth="1"/>
    <col min="13572" max="13572" width="9.33203125" style="1634" bestFit="1" customWidth="1"/>
    <col min="13573" max="13573" width="13.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640625" style="1634" customWidth="1"/>
    <col min="13581" max="13581" width="13.83203125" style="1634" customWidth="1"/>
    <col min="13582" max="13824" width="9" style="1634"/>
    <col min="13825" max="13825" width="4.83203125" style="1634" customWidth="1"/>
    <col min="13826" max="13826" width="13.1640625" style="1634" customWidth="1"/>
    <col min="13827" max="13827" width="15.6640625" style="1634" customWidth="1"/>
    <col min="13828" max="13828" width="9.33203125" style="1634" bestFit="1" customWidth="1"/>
    <col min="13829" max="13829" width="13.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640625" style="1634" customWidth="1"/>
    <col min="13837" max="13837" width="13.83203125" style="1634" customWidth="1"/>
    <col min="13838" max="14080" width="9" style="1634"/>
    <col min="14081" max="14081" width="4.83203125" style="1634" customWidth="1"/>
    <col min="14082" max="14082" width="13.1640625" style="1634" customWidth="1"/>
    <col min="14083" max="14083" width="15.6640625" style="1634" customWidth="1"/>
    <col min="14084" max="14084" width="9.33203125" style="1634" bestFit="1" customWidth="1"/>
    <col min="14085" max="14085" width="13.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640625" style="1634" customWidth="1"/>
    <col min="14093" max="14093" width="13.83203125" style="1634" customWidth="1"/>
    <col min="14094" max="14336" width="9" style="1634"/>
    <col min="14337" max="14337" width="4.83203125" style="1634" customWidth="1"/>
    <col min="14338" max="14338" width="13.1640625" style="1634" customWidth="1"/>
    <col min="14339" max="14339" width="15.6640625" style="1634" customWidth="1"/>
    <col min="14340" max="14340" width="9.33203125" style="1634" bestFit="1" customWidth="1"/>
    <col min="14341" max="14341" width="13.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640625" style="1634" customWidth="1"/>
    <col min="14349" max="14349" width="13.83203125" style="1634" customWidth="1"/>
    <col min="14350" max="14592" width="9" style="1634"/>
    <col min="14593" max="14593" width="4.83203125" style="1634" customWidth="1"/>
    <col min="14594" max="14594" width="13.1640625" style="1634" customWidth="1"/>
    <col min="14595" max="14595" width="15.6640625" style="1634" customWidth="1"/>
    <col min="14596" max="14596" width="9.33203125" style="1634" bestFit="1" customWidth="1"/>
    <col min="14597" max="14597" width="13.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640625" style="1634" customWidth="1"/>
    <col min="14605" max="14605" width="13.83203125" style="1634" customWidth="1"/>
    <col min="14606" max="14848" width="9" style="1634"/>
    <col min="14849" max="14849" width="4.83203125" style="1634" customWidth="1"/>
    <col min="14850" max="14850" width="13.1640625" style="1634" customWidth="1"/>
    <col min="14851" max="14851" width="15.6640625" style="1634" customWidth="1"/>
    <col min="14852" max="14852" width="9.33203125" style="1634" bestFit="1" customWidth="1"/>
    <col min="14853" max="14853" width="13.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640625" style="1634" customWidth="1"/>
    <col min="14861" max="14861" width="13.83203125" style="1634" customWidth="1"/>
    <col min="14862" max="15104" width="9" style="1634"/>
    <col min="15105" max="15105" width="4.83203125" style="1634" customWidth="1"/>
    <col min="15106" max="15106" width="13.1640625" style="1634" customWidth="1"/>
    <col min="15107" max="15107" width="15.6640625" style="1634" customWidth="1"/>
    <col min="15108" max="15108" width="9.33203125" style="1634" bestFit="1" customWidth="1"/>
    <col min="15109" max="15109" width="13.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640625" style="1634" customWidth="1"/>
    <col min="15117" max="15117" width="13.83203125" style="1634" customWidth="1"/>
    <col min="15118" max="15360" width="9" style="1634"/>
    <col min="15361" max="15361" width="4.83203125" style="1634" customWidth="1"/>
    <col min="15362" max="15362" width="13.1640625" style="1634" customWidth="1"/>
    <col min="15363" max="15363" width="15.6640625" style="1634" customWidth="1"/>
    <col min="15364" max="15364" width="9.33203125" style="1634" bestFit="1" customWidth="1"/>
    <col min="15365" max="15365" width="13.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640625" style="1634" customWidth="1"/>
    <col min="15373" max="15373" width="13.83203125" style="1634" customWidth="1"/>
    <col min="15374" max="15616" width="9" style="1634"/>
    <col min="15617" max="15617" width="4.83203125" style="1634" customWidth="1"/>
    <col min="15618" max="15618" width="13.1640625" style="1634" customWidth="1"/>
    <col min="15619" max="15619" width="15.6640625" style="1634" customWidth="1"/>
    <col min="15620" max="15620" width="9.33203125" style="1634" bestFit="1" customWidth="1"/>
    <col min="15621" max="15621" width="13.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640625" style="1634" customWidth="1"/>
    <col min="15629" max="15629" width="13.83203125" style="1634" customWidth="1"/>
    <col min="15630" max="15872" width="9" style="1634"/>
    <col min="15873" max="15873" width="4.83203125" style="1634" customWidth="1"/>
    <col min="15874" max="15874" width="13.1640625" style="1634" customWidth="1"/>
    <col min="15875" max="15875" width="15.6640625" style="1634" customWidth="1"/>
    <col min="15876" max="15876" width="9.33203125" style="1634" bestFit="1" customWidth="1"/>
    <col min="15877" max="15877" width="13.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640625" style="1634" customWidth="1"/>
    <col min="15885" max="15885" width="13.83203125" style="1634" customWidth="1"/>
    <col min="15886" max="16128" width="9" style="1634"/>
    <col min="16129" max="16129" width="4.83203125" style="1634" customWidth="1"/>
    <col min="16130" max="16130" width="13.1640625" style="1634" customWidth="1"/>
    <col min="16131" max="16131" width="15.6640625" style="1634" customWidth="1"/>
    <col min="16132" max="16132" width="9.33203125" style="1634" bestFit="1" customWidth="1"/>
    <col min="16133" max="16133" width="13.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640625" style="1634" customWidth="1"/>
    <col min="16141" max="16141" width="13.83203125" style="1634" customWidth="1"/>
    <col min="16142" max="16384" width="9" style="1634"/>
  </cols>
  <sheetData>
    <row r="1" spans="1:257" s="1698" customFormat="1" ht="15" thickBot="1">
      <c r="A1" s="1692"/>
      <c r="B1" s="1699" t="s">
        <v>1295</v>
      </c>
      <c r="C1" s="1693">
        <f>项目基本情况!D3</f>
        <v>43905</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1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4">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ht="15">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6">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ht="15">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ht="15">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ht="15">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ht="15">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ht="15">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ht="15">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ht="15">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ht="15">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ht="15">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ht="15">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ht="15">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7"/>
  <sheetViews>
    <sheetView workbookViewId="0">
      <selection activeCell="K25" sqref="K25"/>
    </sheetView>
  </sheetViews>
  <sheetFormatPr baseColWidth="10" defaultColWidth="8.83203125" defaultRowHeight="14"/>
  <sheetData>
    <row r="1" spans="1:13" ht="28">
      <c r="A1" s="1781" t="s">
        <v>1367</v>
      </c>
      <c r="E1" s="1775" t="s">
        <v>1371</v>
      </c>
      <c r="F1" s="1776" t="s">
        <v>1375</v>
      </c>
    </row>
    <row r="2" spans="1:13" ht="22">
      <c r="A2" s="1782" t="s">
        <v>1368</v>
      </c>
    </row>
    <row r="3" spans="1:13" ht="17">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943" customWidth="1"/>
    <col min="2" max="3" width="22.33203125" style="1943" customWidth="1"/>
    <col min="4" max="4" width="23" style="1943" customWidth="1"/>
    <col min="5" max="16384" width="9" style="1943"/>
  </cols>
  <sheetData>
    <row r="1" spans="1:4" ht="18">
      <c r="A1" s="3175" t="s">
        <v>1656</v>
      </c>
      <c r="B1" s="3175"/>
      <c r="C1" s="3175"/>
      <c r="D1" s="3175"/>
    </row>
    <row r="2" spans="1:4" ht="18">
      <c r="A2" s="3176" t="s">
        <v>1640</v>
      </c>
      <c r="B2" s="3176"/>
      <c r="C2" s="3176"/>
      <c r="D2" s="3176"/>
    </row>
    <row r="3" spans="1:4" ht="18">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176" t="s">
        <v>1646</v>
      </c>
      <c r="B6" s="3176"/>
      <c r="C6" s="3176"/>
      <c r="D6" s="3176"/>
    </row>
    <row r="7" spans="1:4" ht="18">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
      <c r="A10" s="1982" t="s">
        <v>1648</v>
      </c>
      <c r="B10" s="728"/>
      <c r="C10" s="728"/>
      <c r="D10" s="728"/>
    </row>
    <row r="11" spans="1:4" ht="30" customHeight="1">
      <c r="A11" s="3177" t="s">
        <v>1649</v>
      </c>
      <c r="B11" s="3178"/>
      <c r="C11" s="3178"/>
      <c r="D11" s="3178"/>
    </row>
    <row r="12" spans="1:4" ht="16">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9"/>
      <c r="C12" s="3179"/>
      <c r="D12" s="3179"/>
    </row>
    <row r="13" spans="1:4" ht="30" customHeight="1">
      <c r="A13" s="3178" t="str">
        <f>IF(项目基本情况!B8="抵押","3.抵押双方在办理抵押登记手续时，应使用本公司出具的正式《房地产评估报告》，特提醒报告使用者注意。","——")</f>
        <v>——</v>
      </c>
      <c r="B13" s="3179"/>
      <c r="C13" s="3179"/>
      <c r="D13" s="3179"/>
    </row>
    <row r="14" spans="1:4" ht="15.75" customHeight="1">
      <c r="A14" s="3178" t="str">
        <f>IF(项目基本情况!B8="抵押","4.本次评估估价师所知悉的法定优先受偿款情况说明如下：","——")</f>
        <v>——</v>
      </c>
      <c r="B14" s="3179"/>
      <c r="C14" s="3179"/>
      <c r="D14" s="3179"/>
    </row>
    <row r="15" spans="1:4" ht="42" customHeight="1">
      <c r="A15" s="3178" t="str">
        <f>IF(项目基本情况!B8="抵押","（1）"&amp;CONCATENATE(项目基本情况!L20,项目基本情况!L21,项目基本情况!L22),"——")</f>
        <v>——</v>
      </c>
      <c r="B15" s="3178"/>
      <c r="C15" s="3178"/>
      <c r="D15" s="3178"/>
    </row>
    <row r="16" spans="1:4" ht="30" customHeight="1">
      <c r="A16" s="3181" t="s">
        <v>1650</v>
      </c>
      <c r="B16" s="3181"/>
      <c r="C16" s="3181"/>
      <c r="D16" s="3181"/>
    </row>
    <row r="17" spans="1:4" ht="144" customHeight="1">
      <c r="A17" s="3181" t="s">
        <v>1651</v>
      </c>
      <c r="B17" s="3181"/>
      <c r="C17" s="3181"/>
      <c r="D17" s="3181"/>
    </row>
    <row r="18" spans="1:4" ht="15.75" customHeight="1">
      <c r="A18" s="3178" t="str">
        <f>IF(项目基本情况!B8="抵押",结果表!K120,"——")</f>
        <v>——</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1652</v>
      </c>
      <c r="B22" s="3183"/>
      <c r="C22" s="3183"/>
      <c r="D22" s="3183"/>
    </row>
    <row r="23" spans="1:4">
      <c r="A23" s="1983"/>
      <c r="B23" s="1955"/>
      <c r="C23" s="1955"/>
      <c r="D23" s="1955"/>
    </row>
    <row r="24" spans="1:4">
      <c r="A24" s="1983"/>
      <c r="B24" s="1955"/>
      <c r="C24" s="1955"/>
      <c r="D24" s="1955"/>
    </row>
    <row r="25" spans="1:4" ht="18">
      <c r="A25" s="1984" t="s">
        <v>1653</v>
      </c>
    </row>
    <row r="26" spans="1:4" ht="18">
      <c r="A26" s="1953"/>
    </row>
    <row r="27" spans="1:4" ht="18">
      <c r="A27" s="1953" t="s">
        <v>1654</v>
      </c>
    </row>
    <row r="30" spans="1:4" ht="18">
      <c r="D30" s="1984" t="s">
        <v>1655</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941" customWidth="1"/>
    <col min="3" max="10" width="12.5" style="1941" customWidth="1"/>
    <col min="11" max="16384" width="9" style="1941"/>
  </cols>
  <sheetData>
    <row r="1" spans="1:10" ht="17">
      <c r="A1" s="1974" t="s">
        <v>866</v>
      </c>
      <c r="B1" s="1985"/>
      <c r="C1" s="1985"/>
      <c r="D1" s="1985"/>
      <c r="E1" s="1985"/>
      <c r="F1" s="1985"/>
      <c r="G1" s="1985"/>
      <c r="H1" s="1985"/>
      <c r="I1" s="1985"/>
      <c r="J1" s="1985"/>
    </row>
    <row r="2" spans="1:10" ht="17">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23" sqref="E23"/>
      <selection pane="bottomLeft" activeCell="E23" sqref="E23"/>
    </sheetView>
  </sheetViews>
  <sheetFormatPr baseColWidth="10" defaultColWidth="14.5" defaultRowHeight="15"/>
  <cols>
    <col min="1" max="1" width="14.5" style="1991" customWidth="1"/>
    <col min="2" max="16384" width="14.5" style="1973"/>
  </cols>
  <sheetData>
    <row r="1" spans="1:7" s="1988" customFormat="1" ht="17">
      <c r="A1" s="1987" t="s">
        <v>1657</v>
      </c>
    </row>
    <row r="3" spans="1:7" ht="16">
      <c r="A3" s="1989" t="s">
        <v>82</v>
      </c>
      <c r="B3" s="1973" t="s">
        <v>1658</v>
      </c>
      <c r="G3" s="1990"/>
    </row>
    <row r="4" spans="1:7">
      <c r="G4" s="1990"/>
    </row>
    <row r="5" spans="1:7" ht="16">
      <c r="A5" s="1992" t="s">
        <v>73</v>
      </c>
      <c r="B5" s="1973" t="s">
        <v>1659</v>
      </c>
      <c r="G5" s="1990"/>
    </row>
    <row r="6" spans="1:7">
      <c r="G6" s="1990"/>
    </row>
    <row r="7" spans="1:7" ht="16">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
      <c r="A15" s="3189" t="s">
        <v>1663</v>
      </c>
      <c r="B15" s="3184" t="s">
        <v>136</v>
      </c>
      <c r="C15" s="3185"/>
    </row>
    <row r="16" spans="1:7" ht="14">
      <c r="A16" s="3190"/>
      <c r="B16" s="3184" t="s">
        <v>69</v>
      </c>
      <c r="C16" s="3185"/>
    </row>
    <row r="17" spans="1:3" ht="14">
      <c r="A17" s="3190"/>
      <c r="B17" s="3187" t="s">
        <v>1664</v>
      </c>
      <c r="C17" s="1998" t="s">
        <v>1663</v>
      </c>
    </row>
    <row r="18" spans="1:3" ht="14">
      <c r="A18" s="3190"/>
      <c r="B18" s="3187"/>
      <c r="C18" s="1998" t="s">
        <v>1665</v>
      </c>
    </row>
    <row r="19" spans="1:3" ht="14">
      <c r="A19" s="3190"/>
      <c r="B19" s="3187"/>
      <c r="C19" s="1998" t="s">
        <v>1666</v>
      </c>
    </row>
    <row r="20" spans="1:3" ht="14">
      <c r="A20" s="3191"/>
      <c r="B20" s="3186" t="s">
        <v>1667</v>
      </c>
      <c r="C20" s="3185"/>
    </row>
    <row r="21" spans="1:3" ht="14">
      <c r="A21" s="1999" t="s">
        <v>1668</v>
      </c>
      <c r="B21" s="2000"/>
      <c r="C21" s="2001"/>
    </row>
    <row r="22" spans="1:3" ht="14">
      <c r="A22" s="3188" t="s">
        <v>1669</v>
      </c>
      <c r="B22" s="3186" t="s">
        <v>1670</v>
      </c>
      <c r="C22" s="3185"/>
    </row>
    <row r="23" spans="1:3" ht="14">
      <c r="A23" s="3188"/>
      <c r="B23" s="3186" t="s">
        <v>1671</v>
      </c>
      <c r="C23" s="3185"/>
    </row>
    <row r="24" spans="1:3" ht="14">
      <c r="A24" s="3188"/>
      <c r="B24" s="3186" t="s">
        <v>1672</v>
      </c>
      <c r="C24" s="3185"/>
    </row>
    <row r="25" spans="1:3" ht="14">
      <c r="A25" s="3188"/>
      <c r="B25" s="3187" t="s">
        <v>1673</v>
      </c>
      <c r="C25" s="1998" t="s">
        <v>1674</v>
      </c>
    </row>
    <row r="26" spans="1:3" ht="14">
      <c r="A26" s="3188"/>
      <c r="B26" s="3187"/>
      <c r="C26" s="1998" t="s">
        <v>1675</v>
      </c>
    </row>
    <row r="27" spans="1:3" ht="14">
      <c r="A27" s="3188"/>
      <c r="B27" s="3187"/>
      <c r="C27" s="1998" t="s">
        <v>1676</v>
      </c>
    </row>
    <row r="28" spans="1:3" ht="14">
      <c r="A28" s="3188"/>
      <c r="B28" s="3187"/>
      <c r="C28" s="1998" t="s">
        <v>1677</v>
      </c>
    </row>
    <row r="29" spans="1:3" ht="14">
      <c r="A29" s="3188"/>
      <c r="B29" s="3187"/>
      <c r="C29" s="1998" t="s">
        <v>1678</v>
      </c>
    </row>
    <row r="30" spans="1:3" ht="14">
      <c r="A30" s="3188"/>
      <c r="B30" s="3187"/>
      <c r="C30" s="1998" t="s">
        <v>1679</v>
      </c>
    </row>
    <row r="31" spans="1:3" ht="14">
      <c r="A31" s="3188"/>
      <c r="B31" s="3187"/>
      <c r="C31" s="1998" t="s">
        <v>1680</v>
      </c>
    </row>
    <row r="32" spans="1:3" ht="14">
      <c r="A32" s="3188"/>
      <c r="B32" s="3187"/>
      <c r="C32" s="1998" t="s">
        <v>1681</v>
      </c>
    </row>
    <row r="33" spans="1:3" ht="14">
      <c r="A33" s="3188"/>
      <c r="B33" s="3187"/>
      <c r="C33" s="1998" t="s">
        <v>1682</v>
      </c>
    </row>
    <row r="34" spans="1:3">
      <c r="A34" s="2002" t="s">
        <v>76</v>
      </c>
    </row>
    <row r="37" spans="1:3">
      <c r="A37" s="2002" t="s">
        <v>1683</v>
      </c>
    </row>
    <row r="38" spans="1:3" ht="14">
      <c r="A38" s="2003" t="s">
        <v>77</v>
      </c>
    </row>
    <row r="39" spans="1:3" ht="14">
      <c r="A39" s="2003" t="s">
        <v>78</v>
      </c>
    </row>
    <row r="40" spans="1:3" ht="14">
      <c r="A40" s="2003" t="s">
        <v>79</v>
      </c>
    </row>
    <row r="41" spans="1:3" ht="14">
      <c r="A41" s="2004" t="s">
        <v>80</v>
      </c>
    </row>
    <row r="42" spans="1:3" ht="1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E23" sqref="E23"/>
    </sheetView>
  </sheetViews>
  <sheetFormatPr baseColWidth="10" defaultColWidth="22.6640625" defaultRowHeight="24" customHeight="1"/>
  <cols>
    <col min="1" max="2" width="22.6640625" style="1015"/>
    <col min="3" max="3" width="32.1640625" style="1015" customWidth="1"/>
    <col min="4" max="5" width="22.6640625" style="1015"/>
    <col min="6" max="6" width="25.6640625" style="1015" customWidth="1"/>
    <col min="7" max="16384" width="22.6640625" style="1015"/>
  </cols>
  <sheetData>
    <row r="2" spans="1:6" ht="24" customHeight="1">
      <c r="A2" s="1017" t="s">
        <v>825</v>
      </c>
      <c r="B2" s="1018">
        <f ca="1">TODAY()</f>
        <v>43920</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928">
        <v>44876</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928">
        <v>44876</v>
      </c>
      <c r="D8" s="2349" t="s">
        <v>835</v>
      </c>
      <c r="E8" s="1022">
        <f ca="1">IF(F8&lt;B2,"已过期",2000110082)</f>
        <v>2000110082</v>
      </c>
      <c r="F8" s="1030">
        <v>46387</v>
      </c>
    </row>
    <row r="9" spans="1:6" ht="24" customHeight="1">
      <c r="A9" s="1701" t="s">
        <v>836</v>
      </c>
      <c r="B9" s="1022">
        <f ca="1">IF(C9&lt;B2,"已过期",1419970001)</f>
        <v>1419970001</v>
      </c>
      <c r="C9" s="2928">
        <v>44899</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3040</v>
      </c>
      <c r="B14" s="1022">
        <f ca="1">IF(C14&lt;B2,"已过期",1120040230)</f>
        <v>1120040230</v>
      </c>
      <c r="C14" s="2346">
        <v>44864</v>
      </c>
      <c r="D14" s="2349" t="s">
        <v>3040</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3047</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3049</v>
      </c>
      <c r="B23" s="1022">
        <v>1119980106</v>
      </c>
      <c r="C23" s="2346">
        <v>43916</v>
      </c>
      <c r="D23" s="1701" t="s">
        <v>3052</v>
      </c>
      <c r="E23" s="1022">
        <v>96010063</v>
      </c>
      <c r="F23" s="1030">
        <v>47118</v>
      </c>
    </row>
    <row r="24" spans="1:7" s="1024" customFormat="1" ht="24" customHeight="1">
      <c r="A24" s="1702" t="s">
        <v>1328</v>
      </c>
      <c r="B24" s="1702" t="s">
        <v>1328</v>
      </c>
      <c r="C24" s="2347" t="s">
        <v>1328</v>
      </c>
      <c r="D24" s="2350" t="s">
        <v>1328</v>
      </c>
      <c r="E24" s="1702" t="s">
        <v>1328</v>
      </c>
      <c r="F24" s="1702" t="s">
        <v>1328</v>
      </c>
    </row>
    <row r="25" spans="1:7" ht="24" customHeight="1">
      <c r="A25" s="3192" t="s">
        <v>842</v>
      </c>
      <c r="B25" s="3192"/>
      <c r="C25" s="3192"/>
      <c r="D25" s="3192"/>
      <c r="E25" s="3192"/>
      <c r="F25" s="3192"/>
      <c r="G25" s="3192"/>
    </row>
    <row r="26" spans="1:7" s="1025" customFormat="1" ht="24" customHeight="1">
      <c r="A26" s="3193" t="s">
        <v>843</v>
      </c>
      <c r="B26" s="3193"/>
      <c r="C26" s="3194"/>
      <c r="D26" s="3195" t="s">
        <v>844</v>
      </c>
      <c r="E26" s="3193"/>
      <c r="F26" s="319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5" type="noConversion"/>
  <conditionalFormatting sqref="F4">
    <cfRule type="cellIs" dxfId="233" priority="105" stopIfTrue="1" operator="lessThan">
      <formula>$B$2</formula>
    </cfRule>
  </conditionalFormatting>
  <conditionalFormatting sqref="C5">
    <cfRule type="expression" dxfId="232" priority="100">
      <formula>AND($C5-TODAY()&lt;30,TODAY()&lt;$C5)</formula>
    </cfRule>
  </conditionalFormatting>
  <conditionalFormatting sqref="C5 F5">
    <cfRule type="cellIs" dxfId="231" priority="101" stopIfTrue="1" operator="lessThan">
      <formula>$B$2</formula>
    </cfRule>
  </conditionalFormatting>
  <conditionalFormatting sqref="F6 F8 F10">
    <cfRule type="cellIs" dxfId="230" priority="99" stopIfTrue="1" operator="lessThan">
      <formula>$B$2</formula>
    </cfRule>
  </conditionalFormatting>
  <conditionalFormatting sqref="C5:C7 C13 C23 C17 C19:C21 C10:C11">
    <cfRule type="expression" dxfId="229" priority="97">
      <formula>AND($C5-TODAY()&lt;30,TODAY()&lt;$C5)</formula>
    </cfRule>
  </conditionalFormatting>
  <conditionalFormatting sqref="F7 F9 F11 C5:C7 C13 C23 C17 C19:C21 C10:C11">
    <cfRule type="cellIs" dxfId="228" priority="98" stopIfTrue="1" operator="lessThan">
      <formula>$B$2</formula>
    </cfRule>
  </conditionalFormatting>
  <conditionalFormatting sqref="C20">
    <cfRule type="expression" dxfId="227" priority="85">
      <formula>AND($C20-TODAY()&lt;30,TODAY()&lt;$C20)</formula>
    </cfRule>
  </conditionalFormatting>
  <conditionalFormatting sqref="C20">
    <cfRule type="cellIs" dxfId="226" priority="86" stopIfTrue="1" operator="lessThan">
      <formula>$B$2</formula>
    </cfRule>
  </conditionalFormatting>
  <conditionalFormatting sqref="C17">
    <cfRule type="expression" dxfId="225" priority="79">
      <formula>AND($C17-TODAY()&lt;30,TODAY()&lt;$C17)</formula>
    </cfRule>
  </conditionalFormatting>
  <conditionalFormatting sqref="C17">
    <cfRule type="cellIs" dxfId="224" priority="80" stopIfTrue="1" operator="lessThan">
      <formula>$B$2</formula>
    </cfRule>
  </conditionalFormatting>
  <conditionalFormatting sqref="C19">
    <cfRule type="expression" dxfId="223" priority="77">
      <formula>AND($C19-TODAY()&lt;30,TODAY()&lt;$C19)</formula>
    </cfRule>
  </conditionalFormatting>
  <conditionalFormatting sqref="C19">
    <cfRule type="cellIs" dxfId="222" priority="78" stopIfTrue="1" operator="lessThan">
      <formula>$B$2</formula>
    </cfRule>
  </conditionalFormatting>
  <conditionalFormatting sqref="C21">
    <cfRule type="expression" dxfId="221" priority="75">
      <formula>AND($C21-TODAY()&lt;30,TODAY()&lt;$C21)</formula>
    </cfRule>
  </conditionalFormatting>
  <conditionalFormatting sqref="C21">
    <cfRule type="cellIs" dxfId="220" priority="76" stopIfTrue="1" operator="lessThan">
      <formula>$B$2</formula>
    </cfRule>
  </conditionalFormatting>
  <conditionalFormatting sqref="C23">
    <cfRule type="expression" dxfId="219" priority="73">
      <formula>AND($C23-TODAY()&lt;30,TODAY()&lt;$C23)</formula>
    </cfRule>
  </conditionalFormatting>
  <conditionalFormatting sqref="C23">
    <cfRule type="cellIs" dxfId="218" priority="74" stopIfTrue="1" operator="lessThan">
      <formula>$B$2</formula>
    </cfRule>
  </conditionalFormatting>
  <conditionalFormatting sqref="F18">
    <cfRule type="cellIs" dxfId="217" priority="70" stopIfTrue="1" operator="lessThan">
      <formula>$B$2</formula>
    </cfRule>
  </conditionalFormatting>
  <conditionalFormatting sqref="F22">
    <cfRule type="cellIs" dxfId="216" priority="69" stopIfTrue="1" operator="lessThan">
      <formula>$B$2</formula>
    </cfRule>
  </conditionalFormatting>
  <conditionalFormatting sqref="F21">
    <cfRule type="cellIs" dxfId="215" priority="68" stopIfTrue="1" operator="lessThan">
      <formula>$B$2</formula>
    </cfRule>
  </conditionalFormatting>
  <conditionalFormatting sqref="B4:B11 E4:E11 B17 E18:E22 B13 E13 B19:B23">
    <cfRule type="cellIs" dxfId="214" priority="66" stopIfTrue="1" operator="equal">
      <formula>"已过期"</formula>
    </cfRule>
  </conditionalFormatting>
  <conditionalFormatting sqref="A24:F24">
    <cfRule type="cellIs" dxfId="213" priority="62" stopIfTrue="1" operator="equal">
      <formula>"已过期"</formula>
    </cfRule>
  </conditionalFormatting>
  <conditionalFormatting sqref="F28">
    <cfRule type="expression" dxfId="212" priority="60">
      <formula>AND($E28-TODAY()&lt;30,TODAY()&lt;$E28)</formula>
    </cfRule>
  </conditionalFormatting>
  <conditionalFormatting sqref="F28">
    <cfRule type="cellIs" dxfId="211" priority="61" stopIfTrue="1" operator="lessThan">
      <formula>$B$2</formula>
    </cfRule>
  </conditionalFormatting>
  <conditionalFormatting sqref="F29">
    <cfRule type="expression" dxfId="210" priority="56" stopIfTrue="1">
      <formula>AND($E29-TODAY()&lt;30,TODAY()&lt;$E29)</formula>
    </cfRule>
  </conditionalFormatting>
  <conditionalFormatting sqref="F29">
    <cfRule type="cellIs" dxfId="209" priority="57" stopIfTrue="1" operator="lessThan">
      <formula>$B$2</formula>
    </cfRule>
  </conditionalFormatting>
  <conditionalFormatting sqref="F13">
    <cfRule type="cellIs" dxfId="208" priority="49" stopIfTrue="1" operator="lessThan">
      <formula>$B$2</formula>
    </cfRule>
  </conditionalFormatting>
  <conditionalFormatting sqref="C12">
    <cfRule type="expression" dxfId="207" priority="47">
      <formula>AND($C12-TODAY()&lt;30,TODAY()&lt;$C12)</formula>
    </cfRule>
  </conditionalFormatting>
  <conditionalFormatting sqref="C12">
    <cfRule type="cellIs" dxfId="206" priority="48" stopIfTrue="1" operator="lessThan">
      <formula>$B$2</formula>
    </cfRule>
  </conditionalFormatting>
  <conditionalFormatting sqref="C12">
    <cfRule type="expression" dxfId="205" priority="45">
      <formula>AND($C12-TODAY()&lt;30,TODAY()&lt;$C12)</formula>
    </cfRule>
  </conditionalFormatting>
  <conditionalFormatting sqref="C12">
    <cfRule type="cellIs" dxfId="204" priority="46" stopIfTrue="1" operator="lessThan">
      <formula>$B$2</formula>
    </cfRule>
  </conditionalFormatting>
  <conditionalFormatting sqref="B12">
    <cfRule type="cellIs" dxfId="203" priority="44" stopIfTrue="1" operator="equal">
      <formula>"已过期"</formula>
    </cfRule>
  </conditionalFormatting>
  <conditionalFormatting sqref="E12">
    <cfRule type="cellIs" dxfId="202" priority="43" stopIfTrue="1" operator="equal">
      <formula>"已过期"</formula>
    </cfRule>
  </conditionalFormatting>
  <conditionalFormatting sqref="F12">
    <cfRule type="cellIs" dxfId="201" priority="42" stopIfTrue="1" operator="lessThan">
      <formula>$B$2</formula>
    </cfRule>
  </conditionalFormatting>
  <conditionalFormatting sqref="C22">
    <cfRule type="expression" dxfId="200" priority="40">
      <formula>AND($C22-TODAY()&lt;30,TODAY()&lt;$C22)</formula>
    </cfRule>
  </conditionalFormatting>
  <conditionalFormatting sqref="C22">
    <cfRule type="cellIs" dxfId="199" priority="41" stopIfTrue="1" operator="lessThan">
      <formula>$B$2</formula>
    </cfRule>
  </conditionalFormatting>
  <conditionalFormatting sqref="C22">
    <cfRule type="expression" dxfId="198" priority="38">
      <formula>AND($C22-TODAY()&lt;30,TODAY()&lt;$C22)</formula>
    </cfRule>
  </conditionalFormatting>
  <conditionalFormatting sqref="C22">
    <cfRule type="cellIs" dxfId="197" priority="39" stopIfTrue="1" operator="lessThan">
      <formula>$B$2</formula>
    </cfRule>
  </conditionalFormatting>
  <conditionalFormatting sqref="C16">
    <cfRule type="expression" dxfId="196" priority="36">
      <formula>AND($C16-TODAY()&lt;30,TODAY()&lt;$C16)</formula>
    </cfRule>
  </conditionalFormatting>
  <conditionalFormatting sqref="C16">
    <cfRule type="cellIs" dxfId="195" priority="37" stopIfTrue="1" operator="lessThan">
      <formula>$B$2</formula>
    </cfRule>
  </conditionalFormatting>
  <conditionalFormatting sqref="C16">
    <cfRule type="expression" dxfId="194" priority="34">
      <formula>AND($C16-TODAY()&lt;30,TODAY()&lt;$C16)</formula>
    </cfRule>
  </conditionalFormatting>
  <conditionalFormatting sqref="C16">
    <cfRule type="cellIs" dxfId="193" priority="35" stopIfTrue="1" operator="lessThan">
      <formula>$B$2</formula>
    </cfRule>
  </conditionalFormatting>
  <conditionalFormatting sqref="B16">
    <cfRule type="cellIs" dxfId="192" priority="33" stopIfTrue="1" operator="equal">
      <formula>"已过期"</formula>
    </cfRule>
  </conditionalFormatting>
  <conditionalFormatting sqref="C14:C15">
    <cfRule type="expression" dxfId="191" priority="31">
      <formula>AND($C14-TODAY()&lt;30,TODAY()&lt;$C14)</formula>
    </cfRule>
  </conditionalFormatting>
  <conditionalFormatting sqref="C14:C15">
    <cfRule type="cellIs" dxfId="190" priority="32" stopIfTrue="1" operator="lessThan">
      <formula>$B$2</formula>
    </cfRule>
  </conditionalFormatting>
  <conditionalFormatting sqref="C14">
    <cfRule type="expression" dxfId="189" priority="29">
      <formula>AND($C14-TODAY()&lt;30,TODAY()&lt;$C14)</formula>
    </cfRule>
  </conditionalFormatting>
  <conditionalFormatting sqref="C14">
    <cfRule type="cellIs" dxfId="188" priority="30" stopIfTrue="1" operator="lessThan">
      <formula>$B$2</formula>
    </cfRule>
  </conditionalFormatting>
  <conditionalFormatting sqref="C15">
    <cfRule type="expression" dxfId="187" priority="27">
      <formula>AND($C15-TODAY()&lt;30,TODAY()&lt;$C15)</formula>
    </cfRule>
  </conditionalFormatting>
  <conditionalFormatting sqref="C15">
    <cfRule type="cellIs" dxfId="186" priority="28" stopIfTrue="1" operator="lessThan">
      <formula>$B$2</formula>
    </cfRule>
  </conditionalFormatting>
  <conditionalFormatting sqref="B14">
    <cfRule type="cellIs" dxfId="185" priority="26" stopIfTrue="1" operator="equal">
      <formula>"已过期"</formula>
    </cfRule>
  </conditionalFormatting>
  <conditionalFormatting sqref="B15">
    <cfRule type="cellIs" dxfId="184" priority="25" stopIfTrue="1" operator="equal">
      <formula>"已过期"</formula>
    </cfRule>
  </conditionalFormatting>
  <conditionalFormatting sqref="A15">
    <cfRule type="cellIs" dxfId="183" priority="24" stopIfTrue="1" operator="equal">
      <formula>"已过期"</formula>
    </cfRule>
  </conditionalFormatting>
  <conditionalFormatting sqref="C15">
    <cfRule type="expression" dxfId="182" priority="23">
      <formula>AND($C15-TODAY()&lt;30,TODAY()&lt;$C15)</formula>
    </cfRule>
  </conditionalFormatting>
  <conditionalFormatting sqref="F16">
    <cfRule type="cellIs" dxfId="181" priority="22" stopIfTrue="1" operator="lessThan">
      <formula>$B$2</formula>
    </cfRule>
  </conditionalFormatting>
  <conditionalFormatting sqref="E16 E14">
    <cfRule type="cellIs" dxfId="180" priority="21" stopIfTrue="1" operator="equal">
      <formula>"已过期"</formula>
    </cfRule>
  </conditionalFormatting>
  <conditionalFormatting sqref="E15">
    <cfRule type="cellIs" dxfId="179" priority="20" stopIfTrue="1" operator="equal">
      <formula>"已过期"</formula>
    </cfRule>
  </conditionalFormatting>
  <conditionalFormatting sqref="D15">
    <cfRule type="cellIs" dxfId="178" priority="19" stopIfTrue="1" operator="equal">
      <formula>"已过期"</formula>
    </cfRule>
  </conditionalFormatting>
  <conditionalFormatting sqref="F17">
    <cfRule type="cellIs" dxfId="177" priority="18" stopIfTrue="1" operator="lessThan">
      <formula>$B$2</formula>
    </cfRule>
  </conditionalFormatting>
  <conditionalFormatting sqref="E17">
    <cfRule type="cellIs" dxfId="176" priority="17" stopIfTrue="1" operator="equal">
      <formula>"已过期"</formula>
    </cfRule>
  </conditionalFormatting>
  <conditionalFormatting sqref="F14">
    <cfRule type="cellIs" dxfId="175" priority="16" stopIfTrue="1" operator="lessThan">
      <formula>$B$2</formula>
    </cfRule>
  </conditionalFormatting>
  <conditionalFormatting sqref="C18">
    <cfRule type="expression" dxfId="174" priority="14">
      <formula>AND($C18-TODAY()&lt;30,TODAY()&lt;$C18)</formula>
    </cfRule>
  </conditionalFormatting>
  <conditionalFormatting sqref="C18">
    <cfRule type="cellIs" dxfId="173" priority="15" stopIfTrue="1" operator="lessThan">
      <formula>$B$2</formula>
    </cfRule>
  </conditionalFormatting>
  <conditionalFormatting sqref="C18">
    <cfRule type="expression" dxfId="172" priority="12">
      <formula>AND($C18-TODAY()&lt;30,TODAY()&lt;$C18)</formula>
    </cfRule>
  </conditionalFormatting>
  <conditionalFormatting sqref="C18">
    <cfRule type="cellIs" dxfId="171" priority="13" stopIfTrue="1" operator="lessThan">
      <formula>$B$2</formula>
    </cfRule>
  </conditionalFormatting>
  <conditionalFormatting sqref="B18">
    <cfRule type="cellIs" dxfId="170" priority="11" stopIfTrue="1" operator="equal">
      <formula>"已过期"</formula>
    </cfRule>
  </conditionalFormatting>
  <conditionalFormatting sqref="C28">
    <cfRule type="expression" dxfId="169" priority="9">
      <formula>AND($C28-TODAY()&lt;30,TODAY()&lt;$C28)</formula>
    </cfRule>
  </conditionalFormatting>
  <conditionalFormatting sqref="C28">
    <cfRule type="cellIs" dxfId="168" priority="10" stopIfTrue="1" operator="lessThan">
      <formula>$B$2</formula>
    </cfRule>
  </conditionalFormatting>
  <conditionalFormatting sqref="C4">
    <cfRule type="expression" dxfId="167" priority="7">
      <formula>AND($C4-TODAY()&lt;30,TODAY()&lt;$C4)</formula>
    </cfRule>
  </conditionalFormatting>
  <conditionalFormatting sqref="C4">
    <cfRule type="cellIs" dxfId="166" priority="8" stopIfTrue="1" operator="lessThan">
      <formula>$B$2</formula>
    </cfRule>
  </conditionalFormatting>
  <conditionalFormatting sqref="C8">
    <cfRule type="expression" dxfId="165" priority="5">
      <formula>AND($C8-TODAY()&lt;30,TODAY()&lt;$C8)</formula>
    </cfRule>
  </conditionalFormatting>
  <conditionalFormatting sqref="C8">
    <cfRule type="cellIs" dxfId="164" priority="6" stopIfTrue="1" operator="lessThan">
      <formula>$B$2</formula>
    </cfRule>
  </conditionalFormatting>
  <conditionalFormatting sqref="C9">
    <cfRule type="expression" dxfId="163" priority="3">
      <formula>AND($C9-TODAY()&lt;30,TODAY()&lt;$C9)</formula>
    </cfRule>
  </conditionalFormatting>
  <conditionalFormatting sqref="C9">
    <cfRule type="cellIs" dxfId="162" priority="4" stopIfTrue="1" operator="lessThan">
      <formula>$B$2</formula>
    </cfRule>
  </conditionalFormatting>
  <conditionalFormatting sqref="F23">
    <cfRule type="cellIs" dxfId="161" priority="2" stopIfTrue="1" operator="lessThan">
      <formula>$B$2</formula>
    </cfRule>
  </conditionalFormatting>
  <conditionalFormatting sqref="E23">
    <cfRule type="cellIs" dxfId="160"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56</vt:i4>
      </vt:variant>
      <vt:variant>
        <vt:lpstr>命名范围</vt:lpstr>
      </vt:variant>
      <vt:variant>
        <vt:i4>143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抵押物汇总</vt:lpstr>
      <vt:lpstr>建设单位-地块-组团-楼栋面积明细表</vt:lpstr>
      <vt:lpstr>工程规划</vt:lpstr>
      <vt:lpstr>Sheet3</vt:lpstr>
      <vt:lpstr>FGH地块预售情况</vt:lpstr>
      <vt:lpstr>五证办理进度</vt:lpstr>
      <vt:lpstr>南昌茵梦湖五证信息表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vt:lpstr>
      <vt:lpstr>土地案例（南昌县-住宅）</vt:lpstr>
      <vt:lpstr>选取案例-住宅</vt:lpstr>
      <vt:lpstr>土地比较法-商业</vt:lpstr>
      <vt:lpstr>土地案例（南昌县-商业）</vt:lpstr>
      <vt:lpstr>假设开发法</vt:lpstr>
      <vt:lpstr>现房案例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ElverNing</cp:lastModifiedBy>
  <cp:lastPrinted>2017-03-01T09:15:43Z</cp:lastPrinted>
  <dcterms:created xsi:type="dcterms:W3CDTF">2015-07-13T07:17:23Z</dcterms:created>
  <dcterms:modified xsi:type="dcterms:W3CDTF">2020-03-30T06:09:26Z</dcterms:modified>
</cp:coreProperties>
</file>