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LOFT公寓" sheetId="71" r:id="rId21"/>
    <sheet name="不动产比较法-平层公寓" sheetId="21"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商业）" sheetId="15" r:id="rId32"/>
    <sheet name="不动产收益法" sheetId="68"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公寓案例" sheetId="70" r:id="rId43"/>
  </sheets>
  <definedNames>
    <definedName name="_xlnm._FilterDatabase" localSheetId="22" hidden="1">'比较法-工业'!$A$1:$L$45</definedName>
    <definedName name="_xlnm._FilterDatabase" localSheetId="17" hidden="1">'比较法-住宅、综合'!$A$1:$L$50</definedName>
    <definedName name="_xlnm._FilterDatabase" localSheetId="20" hidden="1">'不动产比较法-LOFT公寓'!$A$1:$L$49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1" hidden="1">'不动产比较法-平层公寓'!$A$1:$L$49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'不动产比较法-LOFT公寓'!$B$88:$M$88</definedName>
    <definedName name="住宅朝向">'不动产比较法-平层公寓'!$B$88:$M$88</definedName>
    <definedName name="住宅房型" localSheetId="20">'不动产比较法-LOFT公寓'!$B$118:$M$118</definedName>
    <definedName name="住宅房型">'不动产比较法-平层公寓'!$B$118:$M$118</definedName>
    <definedName name="住宅公共部分装修" localSheetId="20">'不动产比较法-LOFT公寓'!$B$109:$M$109</definedName>
    <definedName name="住宅公共部分装修">'不动产比较法-平层公寓'!$B$109:$M$109</definedName>
    <definedName name="住宅基础设施水平" localSheetId="20">'不动产比较法-LOFT公寓'!$B$116:$M$116</definedName>
    <definedName name="住宅基础设施水平">'不动产比较法-平层公寓'!$B$116:$M$116</definedName>
    <definedName name="住宅建筑结构" localSheetId="20">'不动产比较法-LOFT公寓'!$B$105:$M$105</definedName>
    <definedName name="住宅建筑结构">'不动产比较法-平层公寓'!$B$105:$M$105</definedName>
    <definedName name="住宅建筑类型" localSheetId="20">'不动产比较法-LOFT公寓'!$B$100:$M$100</definedName>
    <definedName name="住宅建筑类型">'不动产比较法-平层公寓'!$B$100:$M$100</definedName>
    <definedName name="住宅建筑品质" localSheetId="20">'不动产比较法-LOFT公寓'!$B$107:$M$107</definedName>
    <definedName name="住宅建筑品质">'不动产比较法-平层公寓'!$B$107:$M$107</definedName>
    <definedName name="住宅交易情况" localSheetId="20">'不动产比较法-LOFT公寓'!$A$61:$M$61</definedName>
    <definedName name="住宅交易情况">'不动产比较法-平层公寓'!$A$61:$M$61</definedName>
    <definedName name="住宅楼层" localSheetId="20">'不动产比较法-LOFT公寓'!$B$86:$M$86</definedName>
    <definedName name="住宅楼层">'不动产比较法-平层公寓'!$B$86:$M$86</definedName>
    <definedName name="住宅内部装修" localSheetId="20">'不动产比较法-LOFT公寓'!$B$122:$M$122</definedName>
    <definedName name="住宅内部装修">'不动产比较法-平层公寓'!$B$122:$M$122</definedName>
    <definedName name="住宅物业管理" localSheetId="20">'不动产比较法-LOFT公寓'!$B$114:$M$114</definedName>
    <definedName name="住宅物业管理">'不动产比较法-平层公寓'!$B$114:$M$114</definedName>
    <definedName name="住宅用途" localSheetId="20">'不动产比较法-LOFT公寓'!$B$63:$M$63</definedName>
    <definedName name="住宅用途">'不动产比较法-平层公寓'!$B$63:$M$63</definedName>
    <definedName name="住宅主力户型面积" localSheetId="20">'不动产比较法-LOFT公寓'!$B$120:$M$120</definedName>
    <definedName name="住宅主力户型面积">'不动产比较法-平层公寓'!$B$120:$M$120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D104" i="21" l="1"/>
  <c r="E104" i="21" s="1"/>
  <c r="F104" i="21" s="1"/>
  <c r="G104" i="21" s="1"/>
  <c r="H104" i="21" s="1"/>
  <c r="I104" i="21" s="1"/>
  <c r="D103" i="21"/>
  <c r="E103" i="21" s="1"/>
  <c r="F103" i="21" s="1"/>
  <c r="G103" i="21" s="1"/>
  <c r="H103" i="21" s="1"/>
  <c r="I103" i="21" s="1"/>
  <c r="I104" i="71"/>
  <c r="E104" i="71"/>
  <c r="F104" i="71" s="1"/>
  <c r="G104" i="71" s="1"/>
  <c r="H104" i="71" s="1"/>
  <c r="D104" i="71"/>
  <c r="AL13" i="3" l="1"/>
  <c r="E103" i="71" l="1"/>
  <c r="F103" i="71" s="1"/>
  <c r="D103" i="71"/>
  <c r="E82" i="39"/>
  <c r="F82" i="39" s="1"/>
  <c r="G82" i="39" s="1"/>
  <c r="H82" i="39" s="1"/>
  <c r="I82" i="39" s="1"/>
  <c r="J82" i="39" s="1"/>
  <c r="K82" i="39" s="1"/>
  <c r="L82" i="39" s="1"/>
  <c r="D82" i="39"/>
  <c r="E68" i="71"/>
  <c r="F68" i="71" s="1"/>
  <c r="G68" i="71" s="1"/>
  <c r="H68" i="71" s="1"/>
  <c r="I68" i="71" s="1"/>
  <c r="J68" i="71" s="1"/>
  <c r="D68" i="71"/>
  <c r="E68" i="21"/>
  <c r="F68" i="21" s="1"/>
  <c r="G68" i="21" s="1"/>
  <c r="H68" i="21" s="1"/>
  <c r="I68" i="21" s="1"/>
  <c r="J68" i="21" s="1"/>
  <c r="D68" i="21"/>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G79" i="71"/>
  <c r="E79" i="71"/>
  <c r="F79" i="71" s="1"/>
  <c r="D79" i="71"/>
  <c r="E77" i="71"/>
  <c r="F77" i="71" s="1"/>
  <c r="G77" i="71" s="1"/>
  <c r="D77" i="71"/>
  <c r="B74" i="71"/>
  <c r="B72" i="71"/>
  <c r="B70" i="71"/>
  <c r="F69" i="71"/>
  <c r="G69" i="71" s="1"/>
  <c r="H69" i="71" s="1"/>
  <c r="I69" i="71" s="1"/>
  <c r="J69" i="71" s="1"/>
  <c r="K69" i="71" s="1"/>
  <c r="L69" i="71" s="1"/>
  <c r="M69" i="71" s="1"/>
  <c r="D69" i="71"/>
  <c r="E69" i="71" s="1"/>
  <c r="M67" i="71"/>
  <c r="L67" i="71"/>
  <c r="K67" i="71"/>
  <c r="C67" i="71"/>
  <c r="F66" i="71"/>
  <c r="G66" i="71" s="1"/>
  <c r="H66" i="71" s="1"/>
  <c r="I66" i="71" s="1"/>
  <c r="D66" i="71"/>
  <c r="E66" i="71" s="1"/>
  <c r="C63" i="71"/>
  <c r="I54" i="71"/>
  <c r="J54" i="71" s="1"/>
  <c r="G54" i="71"/>
  <c r="H54" i="71" s="1"/>
  <c r="E54" i="71"/>
  <c r="F54" i="71" s="1"/>
  <c r="P49" i="71"/>
  <c r="P48" i="71"/>
  <c r="V47" i="71"/>
  <c r="T47" i="71"/>
  <c r="R47" i="71"/>
  <c r="P47" i="71"/>
  <c r="Q46" i="71"/>
  <c r="Z46" i="71" s="1"/>
  <c r="J46" i="71"/>
  <c r="W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F21" i="6"/>
  <c r="F20" i="6"/>
  <c r="F102" i="71" l="1"/>
  <c r="G103" i="71"/>
  <c r="E102" i="71"/>
  <c r="D102" i="71"/>
  <c r="AB8" i="71"/>
  <c r="E7" i="71"/>
  <c r="F7" i="71" s="1"/>
  <c r="G7" i="71"/>
  <c r="H7" i="71" s="1"/>
  <c r="I7" i="71"/>
  <c r="J7" i="71" s="1"/>
  <c r="U9" i="71"/>
  <c r="S10" i="71"/>
  <c r="W10" i="71"/>
  <c r="U12" i="71"/>
  <c r="S13" i="71"/>
  <c r="W13" i="71"/>
  <c r="U14" i="71"/>
  <c r="U15" i="71"/>
  <c r="U17" i="71"/>
  <c r="U19" i="71"/>
  <c r="U21" i="71"/>
  <c r="U23" i="71"/>
  <c r="S25" i="71"/>
  <c r="W25" i="71"/>
  <c r="AB26" i="71"/>
  <c r="U26" i="71"/>
  <c r="W26" i="71"/>
  <c r="S9" i="71"/>
  <c r="W9" i="71"/>
  <c r="U10" i="71"/>
  <c r="S12" i="71"/>
  <c r="W12" i="71"/>
  <c r="U13" i="71"/>
  <c r="S14" i="71"/>
  <c r="W14" i="71"/>
  <c r="S15" i="71"/>
  <c r="W15" i="71"/>
  <c r="S17" i="71"/>
  <c r="W17" i="71"/>
  <c r="S19" i="71"/>
  <c r="W19" i="71"/>
  <c r="S21" i="71"/>
  <c r="W21" i="71"/>
  <c r="S23" i="71"/>
  <c r="W23" i="71"/>
  <c r="U25" i="71"/>
  <c r="S26" i="71"/>
  <c r="U27" i="71"/>
  <c r="S28" i="71"/>
  <c r="W28" i="71"/>
  <c r="U29" i="71"/>
  <c r="S30" i="71"/>
  <c r="W30" i="71"/>
  <c r="U31" i="71"/>
  <c r="S32" i="71"/>
  <c r="W32" i="71"/>
  <c r="U34" i="71"/>
  <c r="S35" i="71"/>
  <c r="W35" i="71"/>
  <c r="U36" i="71"/>
  <c r="S37" i="71"/>
  <c r="W37" i="71"/>
  <c r="U38" i="71"/>
  <c r="S39" i="71"/>
  <c r="W39" i="71"/>
  <c r="U40" i="71"/>
  <c r="S41" i="71"/>
  <c r="W41" i="71"/>
  <c r="U42" i="71"/>
  <c r="S43" i="71"/>
  <c r="W43" i="71"/>
  <c r="U44" i="71"/>
  <c r="S45" i="71"/>
  <c r="W45" i="71"/>
  <c r="U46" i="71"/>
  <c r="AC4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S46" i="71"/>
  <c r="E67" i="71"/>
  <c r="D67" i="71"/>
  <c r="K141" i="71"/>
  <c r="K143" i="71"/>
  <c r="K144" i="71"/>
  <c r="AN13" i="3"/>
  <c r="H103" i="71" l="1"/>
  <c r="AB7" i="71"/>
  <c r="U7" i="71"/>
  <c r="F67" i="71"/>
  <c r="W7" i="71"/>
  <c r="AC7" i="71"/>
  <c r="S7" i="71"/>
  <c r="AA7" i="71"/>
  <c r="D3" i="4"/>
  <c r="E48" i="39"/>
  <c r="I48" i="39"/>
  <c r="G48" i="39"/>
  <c r="D73" i="39"/>
  <c r="E73" i="39" s="1"/>
  <c r="F73" i="39" s="1"/>
  <c r="G73" i="39" s="1"/>
  <c r="H73" i="39" s="1"/>
  <c r="I73" i="39" s="1"/>
  <c r="J73" i="39" s="1"/>
  <c r="K73" i="39" s="1"/>
  <c r="L73" i="39" s="1"/>
  <c r="M73" i="39" s="1"/>
  <c r="Q73" i="68"/>
  <c r="Q60" i="68"/>
  <c r="D60" i="68"/>
  <c r="Q59" i="68"/>
  <c r="K59" i="68"/>
  <c r="P75" i="68" s="1"/>
  <c r="H102" i="71" l="1"/>
  <c r="I103" i="71"/>
  <c r="I102" i="71" s="1"/>
  <c r="G102" i="71"/>
  <c r="P62" i="68"/>
  <c r="Q52" i="68"/>
  <c r="J50" i="68"/>
  <c r="H67" i="71" l="1"/>
  <c r="G67" i="71"/>
  <c r="M47" i="68"/>
  <c r="F33" i="68"/>
  <c r="F60" i="68" s="1"/>
  <c r="F23" i="68"/>
  <c r="D24" i="68" s="1"/>
  <c r="D23" i="68" l="1"/>
  <c r="D22" i="68"/>
  <c r="F21" i="68"/>
  <c r="F20" i="68"/>
  <c r="M19" i="68"/>
  <c r="F18" i="68"/>
  <c r="J67" i="71" l="1"/>
  <c r="I67" i="71"/>
  <c r="F17" i="68"/>
  <c r="F15" i="68"/>
  <c r="F19" i="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75" i="15" s="1"/>
  <c r="Q74" i="44"/>
  <c r="Q61" i="44"/>
  <c r="Q60" i="44"/>
  <c r="Q53" i="44"/>
  <c r="J51" i="44"/>
  <c r="J52" i="44"/>
  <c r="M48" i="44"/>
  <c r="A16" i="55"/>
  <c r="B67" i="63" s="1"/>
  <c r="A15" i="55"/>
  <c r="A10" i="55"/>
  <c r="A9" i="55"/>
  <c r="A8" i="55"/>
  <c r="A6" i="54"/>
  <c r="B49" i="63" s="1"/>
  <c r="A8" i="54"/>
  <c r="B53" i="63" s="1"/>
  <c r="A7" i="54"/>
  <c r="B51" i="63" s="1"/>
  <c r="A28" i="51"/>
  <c r="A27" i="51"/>
  <c r="B20" i="63" s="1"/>
  <c r="Q11" i="59"/>
  <c r="O11" i="59"/>
  <c r="N12" i="59"/>
  <c r="O12" i="59"/>
  <c r="P12" i="59"/>
  <c r="Q12" i="59"/>
  <c r="N11" i="59"/>
  <c r="P11" i="59"/>
  <c r="K75" i="9"/>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4" i="63"/>
  <c r="B40" i="63"/>
  <c r="B30" i="63"/>
  <c r="B27" i="63"/>
  <c r="B25" i="63"/>
  <c r="A11" i="51"/>
  <c r="B10" i="63" s="1"/>
  <c r="K39" i="9"/>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c r="A14" i="51"/>
  <c r="B11" i="63"/>
  <c r="B66" i="63"/>
  <c r="A4" i="55"/>
  <c r="B57" i="63" s="1"/>
  <c r="G5" i="54"/>
  <c r="B34" i="63" s="1"/>
  <c r="E5" i="54"/>
  <c r="B32" i="63" s="1"/>
  <c r="R2" i="54"/>
  <c r="B24" i="63" s="1"/>
  <c r="B49" i="50"/>
  <c r="B5" i="63"/>
  <c r="B40" i="50"/>
  <c r="B3" i="63"/>
  <c r="N4" i="63"/>
  <c r="B21" i="63"/>
  <c r="I19" i="46"/>
  <c r="Q13" i="59"/>
  <c r="F13" i="59" s="1"/>
  <c r="P13" i="59"/>
  <c r="O13" i="59"/>
  <c r="C13" i="59" s="1"/>
  <c r="N13" i="59"/>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D14" i="59"/>
  <c r="X3" i="59"/>
  <c r="X10" i="59"/>
  <c r="X11" i="59"/>
  <c r="X12" i="59"/>
  <c r="X13" i="59"/>
  <c r="AA3" i="59"/>
  <c r="AA10" i="59"/>
  <c r="AA11" i="59"/>
  <c r="AA12" i="59"/>
  <c r="AA13" i="59"/>
  <c r="Y10" i="59"/>
  <c r="Z10" i="59"/>
  <c r="Y11" i="59"/>
  <c r="Z11" i="59" s="1"/>
  <c r="Y12" i="59"/>
  <c r="Z12" i="59" s="1"/>
  <c r="Y13" i="59"/>
  <c r="Z13" i="59" s="1"/>
  <c r="Y3" i="59"/>
  <c r="Z3" i="59" s="1"/>
  <c r="AB13" i="59"/>
  <c r="AB3" i="59"/>
  <c r="AB10" i="59"/>
  <c r="AB11" i="59"/>
  <c r="AB12" i="59"/>
  <c r="E15" i="59"/>
  <c r="E16" i="59" s="1"/>
  <c r="E17" i="59" s="1"/>
  <c r="U17" i="59" s="1"/>
  <c r="S53" i="59"/>
  <c r="Z23" i="59"/>
  <c r="AA24" i="59"/>
  <c r="F16" i="59"/>
  <c r="F17" i="59"/>
  <c r="V17" i="59" s="1"/>
  <c r="F24" i="59"/>
  <c r="F25" i="59"/>
  <c r="V25" i="59" s="1"/>
  <c r="F32" i="59"/>
  <c r="F33" i="59"/>
  <c r="V33" i="59" s="1"/>
  <c r="F44" i="59"/>
  <c r="F45" i="59"/>
  <c r="V45" i="59" s="1"/>
  <c r="C16" i="59"/>
  <c r="D15" i="59"/>
  <c r="C24" i="59"/>
  <c r="D23" i="59"/>
  <c r="C28" i="59"/>
  <c r="D27" i="59"/>
  <c r="C40" i="59"/>
  <c r="D39"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L16" i="4" s="1"/>
  <c r="K16" i="4"/>
  <c r="D72" i="59"/>
  <c r="C71" i="59"/>
  <c r="D71" i="59"/>
  <c r="D64" i="59"/>
  <c r="C63" i="59"/>
  <c r="D63" i="59" s="1"/>
  <c r="D56" i="59"/>
  <c r="C55" i="59"/>
  <c r="D55" i="59"/>
  <c r="C51" i="59"/>
  <c r="O52" i="59"/>
  <c r="D52" i="59"/>
  <c r="D68" i="59"/>
  <c r="C67" i="59"/>
  <c r="D67" i="59"/>
  <c r="D60" i="59"/>
  <c r="C59" i="59"/>
  <c r="D59" i="59" s="1"/>
  <c r="C21" i="59"/>
  <c r="D21" i="59" s="1"/>
  <c r="D20" i="59"/>
  <c r="C49" i="59"/>
  <c r="D49" i="59" s="1"/>
  <c r="D48" i="59"/>
  <c r="C41" i="59"/>
  <c r="D41" i="59" s="1"/>
  <c r="D40" i="59"/>
  <c r="C29" i="59"/>
  <c r="D29" i="59" s="1"/>
  <c r="D28" i="59"/>
  <c r="C25" i="59"/>
  <c r="D25" i="59" s="1"/>
  <c r="D24" i="59"/>
  <c r="C17" i="59"/>
  <c r="D17" i="59" s="1"/>
  <c r="D16" i="59"/>
  <c r="T17" i="59"/>
  <c r="T25" i="59"/>
  <c r="T29" i="59"/>
  <c r="T41" i="59"/>
  <c r="T49" i="59"/>
  <c r="T21" i="59"/>
  <c r="O51" i="59"/>
  <c r="D51" i="59"/>
  <c r="O50"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S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U21" i="21" s="1"/>
  <c r="J21" i="21"/>
  <c r="AC21" i="21" s="1"/>
  <c r="F96" i="40"/>
  <c r="H27" i="40"/>
  <c r="H31" i="39"/>
  <c r="AB31" i="39" s="1"/>
  <c r="F23" i="15"/>
  <c r="D24" i="15" s="1"/>
  <c r="G17" i="11"/>
  <c r="D23" i="15"/>
  <c r="F15" i="15"/>
  <c r="F17" i="15"/>
  <c r="F18" i="15"/>
  <c r="F20" i="15"/>
  <c r="F21" i="15"/>
  <c r="F33" i="15"/>
  <c r="F60" i="15" s="1"/>
  <c r="K2" i="4"/>
  <c r="A4" i="51" s="1"/>
  <c r="B6" i="63"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D10" i="1"/>
  <c r="B2" i="1"/>
  <c r="A12" i="1"/>
  <c r="S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L24" i="3" s="1"/>
  <c r="AZ24" i="3" s="1"/>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L23" i="3" s="1"/>
  <c r="AZ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S42" i="39" s="1"/>
  <c r="H10" i="39"/>
  <c r="U10" i="39" s="1"/>
  <c r="H11" i="39"/>
  <c r="AB11" i="39" s="1"/>
  <c r="H36" i="39"/>
  <c r="AB36" i="39" s="1"/>
  <c r="H42" i="39"/>
  <c r="AB42" i="39" s="1"/>
  <c r="J10" i="39"/>
  <c r="W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AB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B129" i="39"/>
  <c r="J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E97" i="39" s="1"/>
  <c r="D95" i="39"/>
  <c r="E95" i="39" s="1"/>
  <c r="F95" i="39" s="1"/>
  <c r="G95" i="39" s="1"/>
  <c r="D93" i="39"/>
  <c r="E93" i="39" s="1"/>
  <c r="J19" i="39" s="1"/>
  <c r="W19" i="39" s="1"/>
  <c r="D91" i="39"/>
  <c r="E91" i="39" s="1"/>
  <c r="F91" i="39" s="1"/>
  <c r="G91" i="39" s="1"/>
  <c r="B88" i="39"/>
  <c r="B86" i="39"/>
  <c r="F15" i="39" s="1"/>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D85" i="21"/>
  <c r="E85" i="21" s="1"/>
  <c r="F85" i="21" s="1"/>
  <c r="G85" i="21" s="1"/>
  <c r="D81" i="21"/>
  <c r="D77" i="21"/>
  <c r="E77" i="21"/>
  <c r="F77" i="21" s="1"/>
  <c r="G77" i="21" s="1"/>
  <c r="B130" i="21"/>
  <c r="J46" i="21" s="1"/>
  <c r="B128" i="21"/>
  <c r="B126" i="21"/>
  <c r="B98" i="21"/>
  <c r="B96" i="21"/>
  <c r="B94" i="21"/>
  <c r="F29" i="21" s="1"/>
  <c r="B92" i="21"/>
  <c r="H28" i="21" s="1"/>
  <c r="B90" i="21"/>
  <c r="B74" i="21"/>
  <c r="J14" i="21" s="1"/>
  <c r="B72" i="21"/>
  <c r="B70" i="21"/>
  <c r="F12" i="21"/>
  <c r="S12" i="21" s="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c r="Q40" i="21"/>
  <c r="Z40" i="21"/>
  <c r="Q41" i="21"/>
  <c r="Z41" i="21" s="1"/>
  <c r="Q42" i="21"/>
  <c r="Z42" i="21" s="1"/>
  <c r="J43" i="21"/>
  <c r="W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U43" i="21" s="1"/>
  <c r="F32" i="21"/>
  <c r="AA32" i="21" s="1"/>
  <c r="F38" i="21"/>
  <c r="S38" i="21" s="1"/>
  <c r="F36" i="21"/>
  <c r="S36" i="21" s="1"/>
  <c r="F39" i="21"/>
  <c r="AA39" i="21" s="1"/>
  <c r="J40" i="21"/>
  <c r="W40" i="21" s="1"/>
  <c r="H35" i="21"/>
  <c r="U35" i="21" s="1"/>
  <c r="J8" i="21"/>
  <c r="AC8" i="21" s="1"/>
  <c r="J9" i="21"/>
  <c r="AC9" i="21" s="1"/>
  <c r="H8" i="21"/>
  <c r="H9" i="21"/>
  <c r="AB9" i="21"/>
  <c r="H10" i="21"/>
  <c r="U10" i="21" s="1"/>
  <c r="H39" i="21"/>
  <c r="AB39" i="21" s="1"/>
  <c r="J34" i="21"/>
  <c r="W34" i="21" s="1"/>
  <c r="H36" i="21"/>
  <c r="U36" i="21" s="1"/>
  <c r="F35" i="21"/>
  <c r="AA35" i="21" s="1"/>
  <c r="J10" i="21"/>
  <c r="AC10" i="21" s="1"/>
  <c r="H26" i="21"/>
  <c r="J12" i="21"/>
  <c r="H12" i="21"/>
  <c r="U12" i="21" s="1"/>
  <c r="J26" i="21"/>
  <c r="W26" i="21" s="1"/>
  <c r="F26" i="21"/>
  <c r="AA26" i="21" s="1"/>
  <c r="S10" i="39"/>
  <c r="U30" i="37"/>
  <c r="F103" i="37"/>
  <c r="F29" i="36"/>
  <c r="AA29" i="36" s="1"/>
  <c r="F16" i="36"/>
  <c r="AA16" i="36" s="1"/>
  <c r="U22" i="36"/>
  <c r="W23" i="36"/>
  <c r="W22" i="36"/>
  <c r="U26" i="36"/>
  <c r="AC31" i="36"/>
  <c r="W33" i="36"/>
  <c r="U31" i="35"/>
  <c r="W36" i="35"/>
  <c r="S31" i="35"/>
  <c r="W31" i="35"/>
  <c r="U34" i="35"/>
  <c r="F36" i="34"/>
  <c r="S36" i="34"/>
  <c r="S34" i="34"/>
  <c r="W39" i="34"/>
  <c r="H39" i="33"/>
  <c r="AB39" i="33" s="1"/>
  <c r="F26" i="33"/>
  <c r="AA26" i="33" s="1"/>
  <c r="U9" i="33"/>
  <c r="W38" i="33"/>
  <c r="S40" i="33"/>
  <c r="S33" i="33"/>
  <c r="U38" i="33"/>
  <c r="W8" i="21"/>
  <c r="H39" i="37"/>
  <c r="AB39" i="37" s="1"/>
  <c r="AB27" i="35"/>
  <c r="S10" i="40"/>
  <c r="W10" i="40"/>
  <c r="S11" i="40"/>
  <c r="U11" i="40"/>
  <c r="S36" i="40"/>
  <c r="U36" i="40"/>
  <c r="S36" i="39"/>
  <c r="AC35" i="21"/>
  <c r="C29" i="39"/>
  <c r="C23" i="39"/>
  <c r="H32" i="33"/>
  <c r="AB32" i="33" s="1"/>
  <c r="F100" i="40"/>
  <c r="AA12" i="33"/>
  <c r="U9" i="21"/>
  <c r="J27" i="36"/>
  <c r="W27" i="36" s="1"/>
  <c r="J34" i="36"/>
  <c r="W34" i="36" s="1"/>
  <c r="J30" i="35"/>
  <c r="W30" i="35" s="1"/>
  <c r="F22" i="35"/>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W8" i="34"/>
  <c r="E113" i="33"/>
  <c r="F36" i="33"/>
  <c r="S36" i="33"/>
  <c r="F19" i="33"/>
  <c r="S19" i="33"/>
  <c r="J19" i="33"/>
  <c r="S10" i="2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c r="J10" i="35"/>
  <c r="W10" i="35"/>
  <c r="AL5" i="3"/>
  <c r="BQ13" i="3"/>
  <c r="BL572" i="3"/>
  <c r="F14" i="21"/>
  <c r="AA14" i="21" s="1"/>
  <c r="F28" i="21"/>
  <c r="S28" i="21" s="1"/>
  <c r="H30" i="21"/>
  <c r="F30" i="21"/>
  <c r="S30" i="21" s="1"/>
  <c r="J30" i="21"/>
  <c r="J44" i="21"/>
  <c r="AC44" i="21" s="1"/>
  <c r="H44" i="21"/>
  <c r="U44" i="21" s="1"/>
  <c r="F44" i="21"/>
  <c r="AA44" i="2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J13" i="21"/>
  <c r="AC13" i="21" s="1"/>
  <c r="H27" i="21"/>
  <c r="AB27" i="21" s="1"/>
  <c r="J29" i="21"/>
  <c r="AC29" i="21" s="1"/>
  <c r="H29" i="21"/>
  <c r="AB29" i="21" s="1"/>
  <c r="S29" i="21"/>
  <c r="F31" i="21"/>
  <c r="AA31" i="21" s="1"/>
  <c r="H45" i="21"/>
  <c r="U45" i="21" s="1"/>
  <c r="S13" i="33"/>
  <c r="W29" i="33"/>
  <c r="J45" i="33"/>
  <c r="W45" i="33" s="1"/>
  <c r="F45" i="33"/>
  <c r="S45" i="33" s="1"/>
  <c r="F11" i="35"/>
  <c r="S11" i="35" s="1"/>
  <c r="H28" i="36"/>
  <c r="U28" i="36" s="1"/>
  <c r="H32" i="36"/>
  <c r="AB32" i="36" s="1"/>
  <c r="J32" i="36"/>
  <c r="J11" i="36"/>
  <c r="W11" i="36"/>
  <c r="AB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C30" i="21"/>
  <c r="W30" i="21"/>
  <c r="AA28" i="21"/>
  <c r="W31" i="34"/>
  <c r="S46" i="33"/>
  <c r="U36" i="37"/>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5"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J43" i="39"/>
  <c r="W43" i="39" s="1"/>
  <c r="F99" i="37"/>
  <c r="AC27" i="37"/>
  <c r="U25" i="35"/>
  <c r="S45" i="34"/>
  <c r="U31" i="34"/>
  <c r="AC40" i="37"/>
  <c r="W40" i="37"/>
  <c r="S28" i="33"/>
  <c r="S14" i="21"/>
  <c r="AA44" i="34"/>
  <c r="AB29" i="35"/>
  <c r="U29" i="35"/>
  <c r="AC19" i="33"/>
  <c r="W19" i="33"/>
  <c r="U43" i="34"/>
  <c r="AB43" i="34"/>
  <c r="AC34" i="37"/>
  <c r="S35" i="37"/>
  <c r="AA35" i="37"/>
  <c r="AB10" i="35"/>
  <c r="S32" i="21"/>
  <c r="AB34"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AC17" i="39" s="1"/>
  <c r="F21" i="39"/>
  <c r="AA21" i="39" s="1"/>
  <c r="H21" i="39"/>
  <c r="U21" i="39" s="1"/>
  <c r="J21" i="39"/>
  <c r="W21" i="39" s="1"/>
  <c r="H33" i="39"/>
  <c r="U33" i="39" s="1"/>
  <c r="F44" i="39"/>
  <c r="AA44" i="39" s="1"/>
  <c r="H44" i="39"/>
  <c r="U44" i="39" s="1"/>
  <c r="J44" i="39"/>
  <c r="W44" i="39" s="1"/>
  <c r="F46" i="39"/>
  <c r="S46" i="39" s="1"/>
  <c r="E103" i="39"/>
  <c r="F103" i="39" s="1"/>
  <c r="G103" i="39" s="1"/>
  <c r="J34" i="39"/>
  <c r="AC34" i="39" s="1"/>
  <c r="F39" i="39"/>
  <c r="S39" i="39" s="1"/>
  <c r="J29" i="35"/>
  <c r="AC29" i="35" s="1"/>
  <c r="F29" i="35"/>
  <c r="S29" i="35" s="1"/>
  <c r="W30" i="36"/>
  <c r="AC30" i="36"/>
  <c r="F37" i="39"/>
  <c r="S37" i="39" s="1"/>
  <c r="H37" i="39"/>
  <c r="AB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F16" i="39"/>
  <c r="S16" i="39" s="1"/>
  <c r="AA16" i="39"/>
  <c r="H16" i="39"/>
  <c r="U16" i="39" s="1"/>
  <c r="J16" i="39"/>
  <c r="AC16" i="39" s="1"/>
  <c r="F15" i="40"/>
  <c r="AA15" i="40"/>
  <c r="J15" i="40"/>
  <c r="H15" i="40"/>
  <c r="AB15" i="40" s="1"/>
  <c r="E92" i="40"/>
  <c r="F92" i="40" s="1"/>
  <c r="G92" i="40" s="1"/>
  <c r="H23" i="40"/>
  <c r="U23" i="40" s="1"/>
  <c r="H41" i="40"/>
  <c r="AB41" i="40" s="1"/>
  <c r="F41" i="40"/>
  <c r="AA41" i="40" s="1"/>
  <c r="J41" i="40"/>
  <c r="H36" i="33"/>
  <c r="AB36" i="33"/>
  <c r="H37" i="34"/>
  <c r="F45" i="39"/>
  <c r="AA45" i="39" s="1"/>
  <c r="F47" i="39"/>
  <c r="S47" i="39" s="1"/>
  <c r="F41" i="39"/>
  <c r="AA41" i="39" s="1"/>
  <c r="H41" i="39"/>
  <c r="U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c r="AB14" i="40"/>
  <c r="W40" i="40"/>
  <c r="AC14" i="40"/>
  <c r="W35" i="40"/>
  <c r="AB32" i="40"/>
  <c r="U37" i="34"/>
  <c r="AB37" i="34"/>
  <c r="AC41" i="40"/>
  <c r="W41" i="40"/>
  <c r="U41" i="40"/>
  <c r="J23" i="40"/>
  <c r="AC23" i="40" s="1"/>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P9" i="1" s="1"/>
  <c r="B7" i="1"/>
  <c r="E7" i="1" s="1"/>
  <c r="C20" i="43"/>
  <c r="F6"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AB37" i="21"/>
  <c r="AB32" i="21"/>
  <c r="AC26" i="21"/>
  <c r="J23" i="21"/>
  <c r="AC23" i="21" s="1"/>
  <c r="F15" i="21"/>
  <c r="S15" i="21" s="1"/>
  <c r="J15" i="21"/>
  <c r="AC15" i="21" s="1"/>
  <c r="H15" i="21"/>
  <c r="U15" i="21" s="1"/>
  <c r="W44"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22" i="31"/>
  <c r="A18" i="64"/>
  <c r="B74" i="63"/>
  <c r="C53" i="10"/>
  <c r="A25" i="64" s="1"/>
  <c r="A18" i="51"/>
  <c r="B14" i="63" s="1"/>
  <c r="K1" i="12"/>
  <c r="BL18"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C24" i="9"/>
  <c r="C25" i="9"/>
  <c r="I20" i="46"/>
  <c r="C20" i="46" s="1"/>
  <c r="L5" i="54"/>
  <c r="B39" i="63"/>
  <c r="K5" i="54"/>
  <c r="B38" i="63"/>
  <c r="T41" i="4"/>
  <c r="A17" i="64"/>
  <c r="B46" i="50"/>
  <c r="B4" i="63" s="1"/>
  <c r="H77" i="46"/>
  <c r="H73" i="46"/>
  <c r="H69" i="46"/>
  <c r="H74" i="46"/>
  <c r="H86" i="46"/>
  <c r="H82" i="46"/>
  <c r="H63" i="46"/>
  <c r="H59" i="46"/>
  <c r="H64" i="46"/>
  <c r="H60" i="46"/>
  <c r="H10" i="48"/>
  <c r="H87" i="46"/>
  <c r="H85" i="46"/>
  <c r="H83" i="46"/>
  <c r="S11" i="1"/>
  <c r="R11" i="1"/>
  <c r="S13" i="1"/>
  <c r="R13" i="1"/>
  <c r="B6" i="1"/>
  <c r="E6" i="1" s="1"/>
  <c r="B8" i="1"/>
  <c r="E8" i="1" s="1"/>
  <c r="B12" i="1"/>
  <c r="E12" i="1" s="1"/>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29" i="21"/>
  <c r="G96" i="40"/>
  <c r="J27" i="40"/>
  <c r="W27" i="40" s="1"/>
  <c r="W37" i="40"/>
  <c r="S17" i="40"/>
  <c r="W30" i="40"/>
  <c r="S34" i="40"/>
  <c r="U17" i="40"/>
  <c r="U38" i="40"/>
  <c r="S40" i="40"/>
  <c r="S42" i="40"/>
  <c r="J31" i="39"/>
  <c r="W31" i="39" s="1"/>
  <c r="S45" i="39"/>
  <c r="W42" i="39"/>
  <c r="W36" i="39"/>
  <c r="W16" i="39"/>
  <c r="S4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H70" i="46"/>
  <c r="H72" i="46"/>
  <c r="A9" i="64"/>
  <c r="A9" i="51"/>
  <c r="B9" i="63" s="1"/>
  <c r="A3" i="55"/>
  <c r="B56" i="63"/>
  <c r="J18" i="36"/>
  <c r="W18" i="36" s="1"/>
  <c r="AE8" i="1"/>
  <c r="AG6" i="1"/>
  <c r="L20" i="6"/>
  <c r="L19" i="6"/>
  <c r="S9" i="1"/>
  <c r="R9" i="1"/>
  <c r="C45" i="9"/>
  <c r="H14" i="66" s="1"/>
  <c r="B7" i="66" s="1"/>
  <c r="O40" i="9"/>
  <c r="R7" i="54" s="1"/>
  <c r="B52" i="63" s="1"/>
  <c r="K31" i="9"/>
  <c r="K32" i="9" s="1"/>
  <c r="N76" i="9"/>
  <c r="C46" i="9"/>
  <c r="B9" i="67"/>
  <c r="F14" i="67"/>
  <c r="N5" i="65"/>
  <c r="B11" i="67"/>
  <c r="E8" i="67"/>
  <c r="F8" i="67"/>
  <c r="B13" i="67"/>
  <c r="E10" i="67"/>
  <c r="B12" i="67"/>
  <c r="B8" i="67"/>
  <c r="N4" i="65"/>
  <c r="E12" i="67"/>
  <c r="E9" i="67"/>
  <c r="N6" i="65"/>
  <c r="E11" i="67"/>
  <c r="F9" i="67"/>
  <c r="N3" i="65"/>
  <c r="F11" i="67"/>
  <c r="F10" i="67"/>
  <c r="B14" i="67"/>
  <c r="E14" i="67"/>
  <c r="F13" i="67"/>
  <c r="E13" i="67"/>
  <c r="N7" i="65"/>
  <c r="B10" i="67"/>
  <c r="F12" i="67"/>
  <c r="K8" i="1" l="1"/>
  <c r="M8" i="1" s="1"/>
  <c r="O8" i="1" s="1"/>
  <c r="D3" i="71"/>
  <c r="W10" i="21"/>
  <c r="AB10" i="21"/>
  <c r="W39" i="21"/>
  <c r="U39" i="21"/>
  <c r="K7" i="1"/>
  <c r="M7" i="1" s="1"/>
  <c r="O7" i="1" s="1"/>
  <c r="C16" i="46"/>
  <c r="D5" i="46" s="1"/>
  <c r="G13" i="3"/>
  <c r="K77" i="9"/>
  <c r="K79" i="9" s="1"/>
  <c r="K81" i="9" s="1"/>
  <c r="G18" i="3"/>
  <c r="G17" i="3"/>
  <c r="AZ22" i="3"/>
  <c r="G15" i="3"/>
  <c r="G21" i="3"/>
  <c r="BL21" i="3"/>
  <c r="AC27" i="40"/>
  <c r="AC18" i="36"/>
  <c r="S33" i="40"/>
  <c r="U12" i="37"/>
  <c r="AZ484" i="3"/>
  <c r="AZ550" i="3"/>
  <c r="AB30" i="33"/>
  <c r="U30" i="33"/>
  <c r="W28" i="33"/>
  <c r="AC28" i="33"/>
  <c r="AA22" i="35"/>
  <c r="S22" i="35"/>
  <c r="H5" i="3"/>
  <c r="BA572" i="3"/>
  <c r="AZ572" i="3" s="1"/>
  <c r="H13" i="21"/>
  <c r="F13" i="21"/>
  <c r="J27" i="21"/>
  <c r="F27" i="21"/>
  <c r="S27" i="21" s="1"/>
  <c r="H31" i="21"/>
  <c r="J31" i="21"/>
  <c r="W31" i="21" s="1"/>
  <c r="F45" i="21"/>
  <c r="J45" i="21"/>
  <c r="W45" i="21" s="1"/>
  <c r="AB33" i="33"/>
  <c r="U33" i="33"/>
  <c r="AA38" i="33"/>
  <c r="S38" i="33"/>
  <c r="AC40" i="33"/>
  <c r="W40" i="33"/>
  <c r="H27" i="33"/>
  <c r="J27" i="33"/>
  <c r="F27" i="33"/>
  <c r="AC9" i="34"/>
  <c r="W9" i="34"/>
  <c r="F28" i="34"/>
  <c r="J28" i="34"/>
  <c r="AZ393" i="3"/>
  <c r="AZ396" i="3"/>
  <c r="AZ412" i="3"/>
  <c r="AZ419" i="3"/>
  <c r="AZ425" i="3"/>
  <c r="AZ429" i="3"/>
  <c r="U25" i="33"/>
  <c r="AZ502" i="3"/>
  <c r="AB30" i="21"/>
  <c r="U30" i="21"/>
  <c r="BA570" i="3"/>
  <c r="AZ570" i="3" s="1"/>
  <c r="BL13" i="3"/>
  <c r="AC33" i="33"/>
  <c r="W33" i="33"/>
  <c r="AB9" i="34"/>
  <c r="U9" i="34"/>
  <c r="AA31" i="33"/>
  <c r="S31" i="33"/>
  <c r="U45" i="33"/>
  <c r="AB45" i="33"/>
  <c r="AC39" i="37"/>
  <c r="W39" i="37"/>
  <c r="AZ389" i="3"/>
  <c r="AZ404" i="3"/>
  <c r="J13" i="35"/>
  <c r="F13" i="36"/>
  <c r="J13" i="36"/>
  <c r="H31" i="33"/>
  <c r="J31" i="33"/>
  <c r="U29" i="36"/>
  <c r="W24" i="35"/>
  <c r="S34" i="35"/>
  <c r="AC27" i="35"/>
  <c r="F39" i="37"/>
  <c r="BF5" i="3"/>
  <c r="W41" i="33"/>
  <c r="F9" i="36"/>
  <c r="H9" i="36"/>
  <c r="H24" i="36"/>
  <c r="U41" i="21"/>
  <c r="BL19" i="3"/>
  <c r="AC5" i="3"/>
  <c r="BA18" i="3"/>
  <c r="G14" i="3"/>
  <c r="C92" i="9"/>
  <c r="BA16" i="3"/>
  <c r="BA15" i="3"/>
  <c r="AZ15" i="3" s="1"/>
  <c r="BA13" i="3"/>
  <c r="AZ13" i="3" s="1"/>
  <c r="A2" i="55"/>
  <c r="B55" i="63" s="1"/>
  <c r="AZ443" i="3"/>
  <c r="AZ451" i="3"/>
  <c r="AZ457" i="3"/>
  <c r="AZ470" i="3"/>
  <c r="AZ473" i="3"/>
  <c r="AZ318" i="3"/>
  <c r="AZ334" i="3"/>
  <c r="AZ350" i="3"/>
  <c r="AZ208" i="3"/>
  <c r="AZ211" i="3"/>
  <c r="BA14" i="3"/>
  <c r="AZ14" i="3" s="1"/>
  <c r="BA17" i="3"/>
  <c r="BQ5" i="3"/>
  <c r="BP5" i="3"/>
  <c r="BL17" i="3"/>
  <c r="AZ219" i="3"/>
  <c r="AZ227" i="3"/>
  <c r="AZ232" i="3"/>
  <c r="AZ235" i="3"/>
  <c r="AZ248" i="3"/>
  <c r="AZ251" i="3"/>
  <c r="AZ264" i="3"/>
  <c r="AZ267" i="3"/>
  <c r="AZ271" i="3"/>
  <c r="AZ283" i="3"/>
  <c r="AZ287" i="3"/>
  <c r="AZ156" i="3"/>
  <c r="AZ159" i="3"/>
  <c r="AZ172" i="3"/>
  <c r="AZ175" i="3"/>
  <c r="AZ202" i="3"/>
  <c r="AZ21" i="3"/>
  <c r="AZ28" i="3"/>
  <c r="AZ34" i="3"/>
  <c r="AZ37" i="3"/>
  <c r="AZ44" i="3"/>
  <c r="AZ50" i="3"/>
  <c r="AZ53" i="3"/>
  <c r="AZ60" i="3"/>
  <c r="AZ73" i="3"/>
  <c r="AZ89" i="3"/>
  <c r="AZ100" i="3"/>
  <c r="AZ105" i="3"/>
  <c r="AZ76" i="3"/>
  <c r="AZ80" i="3"/>
  <c r="C32" i="59"/>
  <c r="D32" i="59" s="1"/>
  <c r="D31" i="59"/>
  <c r="D43" i="59"/>
  <c r="C44" i="59"/>
  <c r="P52" i="59"/>
  <c r="E51" i="59"/>
  <c r="K1" i="43"/>
  <c r="G1" i="68"/>
  <c r="D35" i="59"/>
  <c r="C36" i="59"/>
  <c r="Q51" i="59"/>
  <c r="Q50" i="59"/>
  <c r="D100" i="46"/>
  <c r="P27" i="6"/>
  <c r="B15" i="59"/>
  <c r="B16" i="59" s="1"/>
  <c r="B17" i="59" s="1"/>
  <c r="S17" i="59" s="1"/>
  <c r="E19" i="59"/>
  <c r="E20" i="59" s="1"/>
  <c r="E21" i="59" s="1"/>
  <c r="U21" i="59" s="1"/>
  <c r="F19" i="59"/>
  <c r="F20" i="59" s="1"/>
  <c r="F21" i="59" s="1"/>
  <c r="V21" i="59" s="1"/>
  <c r="B23" i="59"/>
  <c r="B24" i="59" s="1"/>
  <c r="B25" i="59" s="1"/>
  <c r="S25" i="59" s="1"/>
  <c r="B52" i="59"/>
  <c r="T13" i="59"/>
  <c r="C12" i="59"/>
  <c r="D13" i="59"/>
  <c r="V13" i="59"/>
  <c r="F12" i="59"/>
  <c r="F11" i="59" s="1"/>
  <c r="C7" i="59"/>
  <c r="D7" i="59" s="1"/>
  <c r="D8" i="59"/>
  <c r="AB8" i="59"/>
  <c r="AA8" i="59"/>
  <c r="Y7" i="59"/>
  <c r="Z7" i="59" s="1"/>
  <c r="AB7" i="59"/>
  <c r="Y6" i="59"/>
  <c r="Z6" i="59" s="1"/>
  <c r="AB6" i="59"/>
  <c r="X6" i="59"/>
  <c r="AA6" i="59"/>
  <c r="B54" i="46"/>
  <c r="C27" i="40"/>
  <c r="E23" i="59"/>
  <c r="E24" i="59" s="1"/>
  <c r="E25" i="59" s="1"/>
  <c r="U25" i="59" s="1"/>
  <c r="X9" i="59"/>
  <c r="AA9" i="59"/>
  <c r="Y8" i="59"/>
  <c r="Z8" i="59" s="1"/>
  <c r="X8" i="59"/>
  <c r="AA7" i="59"/>
  <c r="X7" i="59"/>
  <c r="AA12" i="46"/>
  <c r="AE12" i="46"/>
  <c r="AI12" i="46"/>
  <c r="B13" i="59"/>
  <c r="Y9" i="59"/>
  <c r="Z9" i="59" s="1"/>
  <c r="AB9" i="59"/>
  <c r="X5" i="59"/>
  <c r="AA5" i="59"/>
  <c r="A26" i="64"/>
  <c r="E13" i="59"/>
  <c r="Y5" i="59"/>
  <c r="Z5" i="59" s="1"/>
  <c r="AB5" i="59"/>
  <c r="F34" i="39"/>
  <c r="AA34" i="39" s="1"/>
  <c r="H34" i="39"/>
  <c r="U34" i="39" s="1"/>
  <c r="J33" i="39"/>
  <c r="W33" i="39" s="1"/>
  <c r="F33" i="39"/>
  <c r="AA33" i="39" s="1"/>
  <c r="C110" i="9"/>
  <c r="C18" i="9"/>
  <c r="D18" i="9"/>
  <c r="M44" i="9" s="1"/>
  <c r="M43" i="9"/>
  <c r="A30" i="51"/>
  <c r="B22" i="63" s="1"/>
  <c r="A30" i="64"/>
  <c r="J17" i="21"/>
  <c r="H17" i="21"/>
  <c r="AB17" i="21" s="1"/>
  <c r="F17" i="21"/>
  <c r="AA17" i="21" s="1"/>
  <c r="F79" i="21"/>
  <c r="G79" i="21" s="1"/>
  <c r="F19" i="21"/>
  <c r="S19" i="21" s="1"/>
  <c r="E81" i="21"/>
  <c r="F23" i="21"/>
  <c r="AA23" i="21" s="1"/>
  <c r="H23" i="21"/>
  <c r="W21" i="21"/>
  <c r="S21" i="21"/>
  <c r="AB21" i="21"/>
  <c r="U28" i="21"/>
  <c r="AB28" i="21"/>
  <c r="W27" i="21"/>
  <c r="AC27" i="21"/>
  <c r="AB31" i="21"/>
  <c r="U31" i="21"/>
  <c r="S31" i="21"/>
  <c r="AC31" i="21"/>
  <c r="U29" i="21"/>
  <c r="AA27" i="21"/>
  <c r="J28" i="21"/>
  <c r="AA25" i="21"/>
  <c r="AA30" i="21"/>
  <c r="S23" i="21"/>
  <c r="W23" i="21"/>
  <c r="S42" i="21"/>
  <c r="U40" i="21"/>
  <c r="AC38" i="21"/>
  <c r="AC34" i="21"/>
  <c r="AC40" i="21"/>
  <c r="W41" i="21"/>
  <c r="AB35" i="21"/>
  <c r="S34" i="21"/>
  <c r="AA36" i="21"/>
  <c r="AA43" i="21"/>
  <c r="AC43" i="21"/>
  <c r="AB43" i="21"/>
  <c r="AB36" i="21"/>
  <c r="W36" i="21"/>
  <c r="AB42" i="21"/>
  <c r="W42" i="21"/>
  <c r="AC37" i="21"/>
  <c r="AA40" i="21"/>
  <c r="AA41" i="21"/>
  <c r="AC46" i="21"/>
  <c r="W46" i="21"/>
  <c r="AA45" i="21"/>
  <c r="S45" i="21"/>
  <c r="AC45" i="21"/>
  <c r="F46" i="21"/>
  <c r="H46" i="21"/>
  <c r="AA37" i="21"/>
  <c r="AA38" i="21"/>
  <c r="U38" i="21"/>
  <c r="AA15" i="21"/>
  <c r="AB15" i="21"/>
  <c r="AC14" i="21"/>
  <c r="W14" i="21"/>
  <c r="W13" i="21"/>
  <c r="AA12" i="21"/>
  <c r="H14" i="21"/>
  <c r="S8" i="21"/>
  <c r="H14" i="39"/>
  <c r="AB14" i="39" s="1"/>
  <c r="S14" i="39"/>
  <c r="AC21" i="39"/>
  <c r="W39" i="39"/>
  <c r="AC39" i="39"/>
  <c r="AB38" i="39"/>
  <c r="H39" i="39"/>
  <c r="AB39" i="39" s="1"/>
  <c r="AC37" i="39"/>
  <c r="AC45" i="39"/>
  <c r="W45" i="39"/>
  <c r="H45" i="39"/>
  <c r="U45" i="39" s="1"/>
  <c r="J46" i="39"/>
  <c r="W46" i="39" s="1"/>
  <c r="AB47" i="39"/>
  <c r="U47" i="39"/>
  <c r="F126" i="39"/>
  <c r="G126" i="39" s="1"/>
  <c r="H126" i="39" s="1"/>
  <c r="I126" i="39" s="1"/>
  <c r="J126" i="39" s="1"/>
  <c r="K126" i="39" s="1"/>
  <c r="L126" i="39" s="1"/>
  <c r="M126" i="39" s="1"/>
  <c r="H43" i="39"/>
  <c r="AB43" i="39" s="1"/>
  <c r="AC31" i="39"/>
  <c r="S11" i="39"/>
  <c r="U39" i="39"/>
  <c r="J47" i="39"/>
  <c r="W47" i="39" s="1"/>
  <c r="AA37" i="39"/>
  <c r="J29" i="39"/>
  <c r="AC29" i="39" s="1"/>
  <c r="H29" i="39"/>
  <c r="U29" i="39" s="1"/>
  <c r="F29" i="39"/>
  <c r="S29" i="39" s="1"/>
  <c r="U36" i="39"/>
  <c r="AA42" i="39"/>
  <c r="AA31" i="39"/>
  <c r="AP6" i="1"/>
  <c r="N67" i="9"/>
  <c r="J51" i="68"/>
  <c r="J51" i="15"/>
  <c r="C7" i="21"/>
  <c r="D38" i="4"/>
  <c r="C39" i="4" s="1"/>
  <c r="H1" i="65"/>
  <c r="U46" i="39"/>
  <c r="AB46" i="39"/>
  <c r="AA46" i="39"/>
  <c r="AC46" i="39"/>
  <c r="AB45" i="39"/>
  <c r="AA47" i="39"/>
  <c r="AC43" i="39"/>
  <c r="S43" i="39"/>
  <c r="U42" i="39"/>
  <c r="W41" i="39"/>
  <c r="S44" i="39"/>
  <c r="AB44" i="39"/>
  <c r="AB41" i="39"/>
  <c r="S38" i="39"/>
  <c r="AA38" i="39"/>
  <c r="AA39" i="39"/>
  <c r="J38" i="39"/>
  <c r="U37" i="39"/>
  <c r="W34" i="39"/>
  <c r="AB33" i="39"/>
  <c r="U31" i="39"/>
  <c r="W29" i="39"/>
  <c r="E101" i="39"/>
  <c r="J27" i="39" s="1"/>
  <c r="AC27" i="39" s="1"/>
  <c r="J25" i="39"/>
  <c r="AC25" i="39" s="1"/>
  <c r="H25" i="39"/>
  <c r="U25" i="39" s="1"/>
  <c r="F99" i="39"/>
  <c r="G99" i="39" s="1"/>
  <c r="F25" i="39"/>
  <c r="AA25" i="39" s="1"/>
  <c r="J23" i="39"/>
  <c r="F23" i="39"/>
  <c r="AA23" i="39" s="1"/>
  <c r="F97" i="39"/>
  <c r="G97" i="39" s="1"/>
  <c r="H23" i="39"/>
  <c r="S21" i="39"/>
  <c r="F93" i="39"/>
  <c r="G93" i="39" s="1"/>
  <c r="H19" i="39"/>
  <c r="F19" i="39"/>
  <c r="S19" i="39" s="1"/>
  <c r="AB17" i="39"/>
  <c r="AC19" i="39"/>
  <c r="S17" i="39"/>
  <c r="W17" i="39"/>
  <c r="S15" i="39"/>
  <c r="AA15" i="39"/>
  <c r="AB16" i="39"/>
  <c r="H15" i="39"/>
  <c r="W14" i="39"/>
  <c r="J15" i="39"/>
  <c r="AC10" i="39"/>
  <c r="AB10" i="39"/>
  <c r="W11" i="39"/>
  <c r="U11" i="39"/>
  <c r="F34" i="68"/>
  <c r="M20" i="68"/>
  <c r="F36" i="44"/>
  <c r="F34" i="15"/>
  <c r="F61" i="15" s="1"/>
  <c r="M20" i="15"/>
  <c r="B41" i="1"/>
  <c r="F28" i="68" s="1"/>
  <c r="D96" i="9"/>
  <c r="C12" i="11"/>
  <c r="D22" i="15"/>
  <c r="P62" i="15"/>
  <c r="C5" i="46"/>
  <c r="G13" i="1"/>
  <c r="G8" i="1"/>
  <c r="K10" i="1"/>
  <c r="M10" i="1" s="1"/>
  <c r="O10" i="1" s="1"/>
  <c r="P10" i="1" s="1"/>
  <c r="B10" i="1"/>
  <c r="E10" i="1" s="1"/>
  <c r="S10" i="1"/>
  <c r="K12" i="1"/>
  <c r="M12" i="1" s="1"/>
  <c r="O12" i="1" s="1"/>
  <c r="P12" i="1" s="1"/>
  <c r="R12" i="1"/>
  <c r="G1" i="44"/>
  <c r="K6" i="1"/>
  <c r="M6" i="1" s="1"/>
  <c r="F3" i="35"/>
  <c r="G1" i="15"/>
  <c r="AZ19" i="3"/>
  <c r="BO5" i="3"/>
  <c r="BD5" i="3"/>
  <c r="AZ18" i="3"/>
  <c r="BS5" i="3"/>
  <c r="BN5" i="3"/>
  <c r="BR5" i="3"/>
  <c r="G28" i="6" s="1"/>
  <c r="BM5" i="3"/>
  <c r="BE5" i="3"/>
  <c r="BK5" i="3"/>
  <c r="BG5" i="3"/>
  <c r="G29" i="6"/>
  <c r="BH5" i="3"/>
  <c r="BI5" i="3"/>
  <c r="BC5" i="3"/>
  <c r="E8" i="6" s="1"/>
  <c r="G19" i="3"/>
  <c r="G5" i="3" s="1"/>
  <c r="B3" i="3" s="1"/>
  <c r="C33" i="71" s="1"/>
  <c r="BL16" i="3"/>
  <c r="AZ16" i="3" s="1"/>
  <c r="L27" i="6"/>
  <c r="I4" i="6"/>
  <c r="G3" i="46" s="1"/>
  <c r="AD11" i="46" s="1"/>
  <c r="AD13" i="46" s="1"/>
  <c r="BA5" i="3"/>
  <c r="D21" i="12"/>
  <c r="C21" i="12" s="1"/>
  <c r="P8" i="1"/>
  <c r="P13" i="1"/>
  <c r="P11" i="1"/>
  <c r="I14" i="66"/>
  <c r="B8" i="66" s="1"/>
  <c r="K33" i="9"/>
  <c r="O41" i="9"/>
  <c r="R8" i="54" s="1"/>
  <c r="B54" i="63" s="1"/>
  <c r="A4" i="64"/>
  <c r="A2" i="9"/>
  <c r="AP7" i="1"/>
  <c r="G11" i="1"/>
  <c r="G6" i="1"/>
  <c r="G10" i="1"/>
  <c r="G9" i="1"/>
  <c r="G12" i="1"/>
  <c r="N16" i="4"/>
  <c r="K17" i="4" s="1"/>
  <c r="A22" i="51" s="1"/>
  <c r="B16" i="63" s="1"/>
  <c r="E48" i="35"/>
  <c r="F48" i="35" s="1"/>
  <c r="G48" i="35" s="1"/>
  <c r="H48" i="35" s="1"/>
  <c r="I48" i="35" s="1"/>
  <c r="J48" i="35" s="1"/>
  <c r="K48" i="35" s="1"/>
  <c r="L48" i="35" s="1"/>
  <c r="M48" i="35" s="1"/>
  <c r="N48" i="35" s="1"/>
  <c r="O48" i="35" s="1"/>
  <c r="J7" i="35"/>
  <c r="H7" i="35"/>
  <c r="F7" i="35"/>
  <c r="E46" i="36"/>
  <c r="F46" i="36" s="1"/>
  <c r="G46" i="36" s="1"/>
  <c r="H46" i="36" s="1"/>
  <c r="I46" i="36" s="1"/>
  <c r="J46" i="36" s="1"/>
  <c r="K46" i="36" s="1"/>
  <c r="L46" i="36" s="1"/>
  <c r="M46" i="36" s="1"/>
  <c r="N46" i="36" s="1"/>
  <c r="O46" i="36" s="1"/>
  <c r="H7" i="36"/>
  <c r="F7" i="36"/>
  <c r="C42" i="1"/>
  <c r="C7" i="34"/>
  <c r="C59" i="34" s="1"/>
  <c r="AP10" i="1"/>
  <c r="A25" i="51"/>
  <c r="B18" i="63" s="1"/>
  <c r="D52" i="37"/>
  <c r="J7" i="36"/>
  <c r="C7" i="33"/>
  <c r="C58" i="33" s="1"/>
  <c r="C9" i="39"/>
  <c r="C70" i="39" s="1"/>
  <c r="C9" i="40"/>
  <c r="C65" i="40" s="1"/>
  <c r="E14" i="52"/>
  <c r="C6" i="59"/>
  <c r="C5" i="59" s="1"/>
  <c r="D5" i="59" s="1"/>
  <c r="B6" i="52"/>
  <c r="E7" i="52"/>
  <c r="C4" i="4" s="1"/>
  <c r="B20" i="55" s="1"/>
  <c r="B70" i="63" s="1"/>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15" i="52"/>
  <c r="E13" i="52"/>
  <c r="E4" i="4" s="1"/>
  <c r="B21" i="55" s="1"/>
  <c r="B72" i="63" s="1"/>
  <c r="B14" i="52"/>
  <c r="E8" i="52"/>
  <c r="E16" i="52"/>
  <c r="B5" i="52"/>
  <c r="B9" i="52"/>
  <c r="B16" i="52"/>
  <c r="B8" i="52"/>
  <c r="B13" i="52"/>
  <c r="E10" i="52"/>
  <c r="E21" i="52"/>
  <c r="F37" i="15"/>
  <c r="J3" i="65"/>
  <c r="I4" i="65"/>
  <c r="M30" i="44"/>
  <c r="F28" i="44"/>
  <c r="M8" i="15"/>
  <c r="F9" i="15"/>
  <c r="M24" i="44"/>
  <c r="F16" i="15"/>
  <c r="C19" i="44"/>
  <c r="F8" i="15"/>
  <c r="M11" i="44"/>
  <c r="M28" i="44"/>
  <c r="F8" i="44"/>
  <c r="M22" i="15"/>
  <c r="M29" i="15"/>
  <c r="J36" i="15"/>
  <c r="F18" i="44"/>
  <c r="L49" i="44"/>
  <c r="M9" i="15"/>
  <c r="M26" i="15"/>
  <c r="I3" i="65"/>
  <c r="I5" i="65"/>
  <c r="M31" i="44"/>
  <c r="F37" i="44"/>
  <c r="F13" i="15"/>
  <c r="F10" i="44"/>
  <c r="L48" i="44"/>
  <c r="L48" i="15"/>
  <c r="M27" i="15"/>
  <c r="F38" i="15"/>
  <c r="F39" i="44"/>
  <c r="F6" i="15"/>
  <c r="M24" i="15"/>
  <c r="M10" i="44"/>
  <c r="J15" i="15"/>
  <c r="M23" i="15"/>
  <c r="M28" i="15"/>
  <c r="M8" i="44"/>
  <c r="F15" i="44"/>
  <c r="M29" i="44"/>
  <c r="F9" i="44"/>
  <c r="F40" i="44"/>
  <c r="J4" i="65"/>
  <c r="F42" i="15"/>
  <c r="J17" i="44"/>
  <c r="M25" i="44"/>
  <c r="F43" i="15"/>
  <c r="I7" i="65"/>
  <c r="J6" i="65"/>
  <c r="F46" i="44"/>
  <c r="F36" i="15"/>
  <c r="M6" i="15"/>
  <c r="J5" i="65"/>
  <c r="J7" i="65"/>
  <c r="F7" i="15"/>
  <c r="F40" i="15"/>
  <c r="L47" i="15"/>
  <c r="I6" i="65"/>
  <c r="F11" i="44"/>
  <c r="M23" i="44"/>
  <c r="F43" i="44"/>
  <c r="F26" i="15"/>
  <c r="M26" i="44"/>
  <c r="F45" i="44"/>
  <c r="F38" i="44"/>
  <c r="H33" i="71" l="1"/>
  <c r="F33" i="71"/>
  <c r="J33" i="71"/>
  <c r="P7" i="1"/>
  <c r="U17" i="21"/>
  <c r="F28" i="6"/>
  <c r="E147" i="3"/>
  <c r="C33" i="21"/>
  <c r="S17" i="21"/>
  <c r="U13" i="59"/>
  <c r="E12" i="59"/>
  <c r="E11" i="59" s="1"/>
  <c r="B12" i="59"/>
  <c r="B11" i="59" s="1"/>
  <c r="M20" i="46" s="1"/>
  <c r="C19" i="46" s="1"/>
  <c r="S13" i="59"/>
  <c r="C11" i="59"/>
  <c r="D11" i="59" s="1"/>
  <c r="D12" i="59"/>
  <c r="N52" i="59"/>
  <c r="B51" i="59"/>
  <c r="AZ17" i="3"/>
  <c r="AB24" i="36"/>
  <c r="U24" i="36"/>
  <c r="AA9" i="36"/>
  <c r="S9" i="36"/>
  <c r="AC31" i="33"/>
  <c r="W31" i="33"/>
  <c r="W13" i="36"/>
  <c r="AC13" i="36"/>
  <c r="AC13" i="35"/>
  <c r="W13" i="35"/>
  <c r="S28" i="34"/>
  <c r="AA28" i="34"/>
  <c r="W27" i="33"/>
  <c r="AC27" i="33"/>
  <c r="AA13" i="21"/>
  <c r="S13" i="21"/>
  <c r="C58" i="21"/>
  <c r="D58" i="21" s="1"/>
  <c r="E58" i="21" s="1"/>
  <c r="F58" i="21" s="1"/>
  <c r="G58" i="21" s="1"/>
  <c r="H58" i="21" s="1"/>
  <c r="I58" i="21" s="1"/>
  <c r="J58" i="21" s="1"/>
  <c r="K58" i="21" s="1"/>
  <c r="L58" i="21" s="1"/>
  <c r="M58" i="21" s="1"/>
  <c r="N58" i="21" s="1"/>
  <c r="O58" i="21" s="1"/>
  <c r="I7" i="21"/>
  <c r="E7" i="21"/>
  <c r="G7" i="21"/>
  <c r="C37" i="59"/>
  <c r="D36" i="59"/>
  <c r="P50" i="59"/>
  <c r="P51" i="59"/>
  <c r="D44" i="59"/>
  <c r="C45" i="59"/>
  <c r="AB9" i="36"/>
  <c r="U9" i="36"/>
  <c r="S39" i="37"/>
  <c r="AA39" i="37"/>
  <c r="U31" i="33"/>
  <c r="AB31" i="33"/>
  <c r="AA13" i="36"/>
  <c r="S13" i="36"/>
  <c r="W28" i="34"/>
  <c r="AC28" i="34"/>
  <c r="AA27" i="33"/>
  <c r="S27" i="33"/>
  <c r="U27" i="33"/>
  <c r="AB27" i="33"/>
  <c r="U13" i="21"/>
  <c r="AB13" i="21"/>
  <c r="AB34" i="39"/>
  <c r="S34" i="39"/>
  <c r="AC33" i="39"/>
  <c r="S33" i="39"/>
  <c r="AC17" i="21"/>
  <c r="W17" i="21"/>
  <c r="F81" i="21"/>
  <c r="G81" i="21" s="1"/>
  <c r="J19" i="21"/>
  <c r="H19" i="21"/>
  <c r="AA19" i="21"/>
  <c r="AB23" i="21"/>
  <c r="U23" i="21"/>
  <c r="AC28" i="21"/>
  <c r="W28" i="21"/>
  <c r="U46" i="21"/>
  <c r="AB46" i="21"/>
  <c r="AA46" i="21"/>
  <c r="S46" i="21"/>
  <c r="U14" i="21"/>
  <c r="AB14" i="21"/>
  <c r="U14" i="39"/>
  <c r="S25" i="39"/>
  <c r="AB29" i="39"/>
  <c r="U43" i="39"/>
  <c r="AC47" i="39"/>
  <c r="AA29" i="39"/>
  <c r="J1" i="65"/>
  <c r="E20" i="46"/>
  <c r="P17" i="46" s="1"/>
  <c r="C28" i="68"/>
  <c r="W38" i="39"/>
  <c r="AC38" i="39"/>
  <c r="W27" i="39"/>
  <c r="F27" i="39"/>
  <c r="H27" i="39"/>
  <c r="F101" i="39"/>
  <c r="G101" i="39" s="1"/>
  <c r="AB25" i="39"/>
  <c r="W25" i="39"/>
  <c r="AC23" i="39"/>
  <c r="W23" i="39"/>
  <c r="S23" i="39"/>
  <c r="AB23" i="39"/>
  <c r="U23" i="39"/>
  <c r="AB19" i="39"/>
  <c r="U19" i="39"/>
  <c r="AA19" i="39"/>
  <c r="AC15" i="39"/>
  <c r="W15" i="39"/>
  <c r="AB15" i="39"/>
  <c r="U15" i="39"/>
  <c r="F61" i="68"/>
  <c r="F70" i="9"/>
  <c r="F71" i="9"/>
  <c r="F34" i="44"/>
  <c r="F27" i="43"/>
  <c r="C27" i="43" s="1"/>
  <c r="F29" i="12"/>
  <c r="D86" i="9"/>
  <c r="M18" i="15"/>
  <c r="F72" i="9"/>
  <c r="F28" i="15"/>
  <c r="F66" i="9"/>
  <c r="P72" i="9" s="1"/>
  <c r="M18" i="68"/>
  <c r="F31" i="43"/>
  <c r="F32" i="15"/>
  <c r="F59" i="15" s="1"/>
  <c r="F30" i="44"/>
  <c r="F32" i="68"/>
  <c r="F59" i="68" s="1"/>
  <c r="M20" i="44"/>
  <c r="M11" i="68"/>
  <c r="J10" i="68" s="1"/>
  <c r="F11" i="68"/>
  <c r="H16" i="1"/>
  <c r="Q16" i="1"/>
  <c r="F24" i="43" s="1"/>
  <c r="C26" i="43" s="1"/>
  <c r="D24" i="43" s="1"/>
  <c r="F67" i="15"/>
  <c r="F50" i="15"/>
  <c r="F65" i="15"/>
  <c r="F49" i="15"/>
  <c r="M7" i="15"/>
  <c r="F70" i="15"/>
  <c r="L59" i="15"/>
  <c r="Q62" i="15" s="1"/>
  <c r="L58" i="15"/>
  <c r="Q61" i="15" s="1"/>
  <c r="F64" i="15"/>
  <c r="Q72" i="15"/>
  <c r="J53" i="15"/>
  <c r="Q53" i="15" s="1"/>
  <c r="I54" i="15"/>
  <c r="L56" i="15"/>
  <c r="J57" i="15"/>
  <c r="J55" i="15" s="1"/>
  <c r="J58" i="15" s="1"/>
  <c r="Q51" i="15" s="1"/>
  <c r="F63" i="15"/>
  <c r="C27" i="15"/>
  <c r="C6" i="15"/>
  <c r="C36" i="44"/>
  <c r="C8" i="44"/>
  <c r="L59" i="44"/>
  <c r="Q62" i="44" s="1"/>
  <c r="L60" i="44"/>
  <c r="Q63" i="44" s="1"/>
  <c r="J54" i="44"/>
  <c r="F1" i="44" s="1"/>
  <c r="J61" i="44"/>
  <c r="Q50" i="44" s="1"/>
  <c r="J58" i="44"/>
  <c r="J56" i="44" s="1"/>
  <c r="J59" i="44" s="1"/>
  <c r="Q52" i="44" s="1"/>
  <c r="I55" i="44"/>
  <c r="J60" i="44"/>
  <c r="L57" i="44"/>
  <c r="J22" i="44"/>
  <c r="C29" i="44"/>
  <c r="M9" i="44"/>
  <c r="Q73" i="44"/>
  <c r="F29" i="6"/>
  <c r="E29" i="6" s="1"/>
  <c r="K15" i="1" s="1"/>
  <c r="AZ5" i="3"/>
  <c r="E3" i="6" s="1"/>
  <c r="D46" i="9" s="1"/>
  <c r="G30" i="6"/>
  <c r="G31" i="6" s="1"/>
  <c r="E28" i="6"/>
  <c r="K14" i="1" s="1"/>
  <c r="M14" i="1" s="1"/>
  <c r="O14" i="1" s="1"/>
  <c r="E13" i="6"/>
  <c r="E65" i="39" s="1"/>
  <c r="E10" i="6"/>
  <c r="E11" i="6"/>
  <c r="E63" i="39" s="1"/>
  <c r="E12" i="6"/>
  <c r="E64" i="39" s="1"/>
  <c r="F27" i="6"/>
  <c r="E27" i="6" s="1"/>
  <c r="E53" i="40"/>
  <c r="E15" i="6"/>
  <c r="E62" i="40" s="1"/>
  <c r="E14" i="6"/>
  <c r="E61" i="40" s="1"/>
  <c r="F30" i="6"/>
  <c r="E58" i="39"/>
  <c r="B113" i="46"/>
  <c r="B118" i="46" s="1"/>
  <c r="C118" i="46" s="1"/>
  <c r="BL5" i="3"/>
  <c r="E315" i="3"/>
  <c r="E505" i="3"/>
  <c r="E174" i="3"/>
  <c r="E427" i="3"/>
  <c r="E377" i="3"/>
  <c r="E95" i="3"/>
  <c r="V6" i="3"/>
  <c r="E490" i="3"/>
  <c r="E156" i="3"/>
  <c r="E384" i="3"/>
  <c r="E66" i="3"/>
  <c r="E189" i="3"/>
  <c r="E237" i="3"/>
  <c r="S6" i="3"/>
  <c r="E16" i="3"/>
  <c r="AT6" i="3"/>
  <c r="E549" i="3"/>
  <c r="E297" i="3"/>
  <c r="E135" i="3"/>
  <c r="G101" i="46"/>
  <c r="G105" i="46" s="1"/>
  <c r="I101" i="46"/>
  <c r="I109" i="46" s="1"/>
  <c r="E20" i="3"/>
  <c r="E159" i="3"/>
  <c r="E551" i="3"/>
  <c r="E214" i="3"/>
  <c r="E462" i="3"/>
  <c r="E534" i="3"/>
  <c r="F101" i="46"/>
  <c r="F106" i="46" s="1"/>
  <c r="AG11" i="46"/>
  <c r="AG13" i="46" s="1"/>
  <c r="AI11" i="46"/>
  <c r="AI13" i="46" s="1"/>
  <c r="G22" i="46"/>
  <c r="N101" i="46"/>
  <c r="N105" i="46" s="1"/>
  <c r="H22" i="46"/>
  <c r="E487" i="3"/>
  <c r="E298" i="3"/>
  <c r="E188" i="3"/>
  <c r="E154" i="3"/>
  <c r="E422" i="3"/>
  <c r="E404" i="3"/>
  <c r="E390" i="3"/>
  <c r="H101" i="46"/>
  <c r="H102" i="46" s="1"/>
  <c r="AJ11" i="46"/>
  <c r="AJ13" i="46" s="1"/>
  <c r="AC11" i="46"/>
  <c r="AC13" i="46" s="1"/>
  <c r="F22" i="46"/>
  <c r="AH11" i="46"/>
  <c r="AH13" i="46" s="1"/>
  <c r="C101" i="46"/>
  <c r="C104" i="46" s="1"/>
  <c r="E101" i="46"/>
  <c r="E103" i="46" s="1"/>
  <c r="AA11" i="46"/>
  <c r="AA13" i="46" s="1"/>
  <c r="E413" i="3"/>
  <c r="E358" i="3"/>
  <c r="E511" i="3"/>
  <c r="AB6" i="3"/>
  <c r="E310" i="3"/>
  <c r="E501" i="3"/>
  <c r="E323" i="3"/>
  <c r="E361" i="3"/>
  <c r="E498" i="3"/>
  <c r="E385" i="3"/>
  <c r="E246" i="3"/>
  <c r="E508" i="3"/>
  <c r="E287" i="3"/>
  <c r="E419" i="3"/>
  <c r="E74" i="3"/>
  <c r="E369" i="3"/>
  <c r="E486" i="3"/>
  <c r="E429" i="3"/>
  <c r="E303" i="3"/>
  <c r="E398" i="3"/>
  <c r="E482" i="3"/>
  <c r="E63" i="3"/>
  <c r="E218" i="3"/>
  <c r="I3" i="6"/>
  <c r="E100" i="3"/>
  <c r="E304" i="3"/>
  <c r="E149" i="3"/>
  <c r="E94" i="3"/>
  <c r="E193" i="3"/>
  <c r="E194" i="3"/>
  <c r="E250" i="3"/>
  <c r="E22" i="46"/>
  <c r="AE11" i="46"/>
  <c r="AE13" i="46" s="1"/>
  <c r="Y11" i="46"/>
  <c r="Y13" i="46" s="1"/>
  <c r="Z7" i="46"/>
  <c r="C23" i="46"/>
  <c r="C21" i="46" s="1"/>
  <c r="J101" i="46"/>
  <c r="J107" i="46" s="1"/>
  <c r="K101" i="46"/>
  <c r="K109" i="46" s="1"/>
  <c r="AB11" i="46"/>
  <c r="AB13" i="46" s="1"/>
  <c r="E564" i="3"/>
  <c r="E18" i="3"/>
  <c r="E322" i="3"/>
  <c r="E329" i="3"/>
  <c r="E371" i="3"/>
  <c r="E514" i="3"/>
  <c r="E267" i="3"/>
  <c r="E35" i="3"/>
  <c r="E19" i="3"/>
  <c r="E277" i="3"/>
  <c r="E108" i="3"/>
  <c r="E306" i="3"/>
  <c r="E386" i="3"/>
  <c r="E224" i="3"/>
  <c r="E105" i="3"/>
  <c r="E264" i="3"/>
  <c r="E372" i="3"/>
  <c r="E467" i="3"/>
  <c r="E37" i="3"/>
  <c r="N6" i="3"/>
  <c r="E129" i="3"/>
  <c r="E110" i="3"/>
  <c r="E536" i="3"/>
  <c r="E374" i="3"/>
  <c r="E165" i="3"/>
  <c r="E249" i="3"/>
  <c r="E36" i="3"/>
  <c r="E104" i="3"/>
  <c r="E78" i="3"/>
  <c r="E381" i="3"/>
  <c r="E411" i="3"/>
  <c r="D101" i="46"/>
  <c r="D109" i="46" s="1"/>
  <c r="AF11" i="46"/>
  <c r="AF13" i="46" s="1"/>
  <c r="M101" i="46"/>
  <c r="M105" i="46" s="1"/>
  <c r="N104" i="45"/>
  <c r="Z11" i="46"/>
  <c r="Z13" i="46" s="1"/>
  <c r="J22" i="46"/>
  <c r="L101" i="46"/>
  <c r="L106" i="46" s="1"/>
  <c r="E509" i="3"/>
  <c r="E17" i="3"/>
  <c r="E26" i="3"/>
  <c r="E567" i="3"/>
  <c r="E512" i="3"/>
  <c r="E312" i="3"/>
  <c r="E182" i="3"/>
  <c r="E212" i="3"/>
  <c r="E524" i="3"/>
  <c r="E81" i="3"/>
  <c r="E180" i="3"/>
  <c r="E24" i="3"/>
  <c r="E302" i="3"/>
  <c r="AG6" i="3"/>
  <c r="E309" i="3"/>
  <c r="E543" i="3"/>
  <c r="E67" i="3"/>
  <c r="E275" i="3"/>
  <c r="E533" i="3"/>
  <c r="E98" i="3"/>
  <c r="E545" i="3"/>
  <c r="E442" i="3"/>
  <c r="E30" i="3"/>
  <c r="E460" i="3"/>
  <c r="E428" i="3"/>
  <c r="E131" i="3"/>
  <c r="E296" i="3"/>
  <c r="E278" i="3"/>
  <c r="E49" i="3"/>
  <c r="E443" i="3"/>
  <c r="E421" i="3"/>
  <c r="E493" i="3"/>
  <c r="E271" i="3"/>
  <c r="E76" i="3"/>
  <c r="E123" i="3"/>
  <c r="E121" i="3"/>
  <c r="E448" i="3"/>
  <c r="E243" i="3"/>
  <c r="E465" i="3"/>
  <c r="E116" i="3"/>
  <c r="L6" i="3"/>
  <c r="E507" i="3"/>
  <c r="E232" i="3"/>
  <c r="E473" i="3"/>
  <c r="E184" i="3"/>
  <c r="E47" i="3"/>
  <c r="E397" i="3"/>
  <c r="E213" i="3"/>
  <c r="E170" i="3"/>
  <c r="E201" i="3"/>
  <c r="E89" i="3"/>
  <c r="E295" i="3"/>
  <c r="E472" i="3"/>
  <c r="E158" i="3"/>
  <c r="E337" i="3"/>
  <c r="AM6" i="3"/>
  <c r="E265" i="3"/>
  <c r="E395" i="3"/>
  <c r="E66" i="39"/>
  <c r="M6" i="3"/>
  <c r="E476" i="3"/>
  <c r="E192" i="3"/>
  <c r="E69" i="3"/>
  <c r="E471" i="3"/>
  <c r="E132" i="3"/>
  <c r="E439" i="3"/>
  <c r="E408" i="3"/>
  <c r="E91" i="3"/>
  <c r="E117" i="3"/>
  <c r="E238" i="3"/>
  <c r="E359" i="3"/>
  <c r="E528" i="3"/>
  <c r="E44" i="3"/>
  <c r="E391" i="3"/>
  <c r="E492" i="3"/>
  <c r="E376" i="3"/>
  <c r="E124" i="3"/>
  <c r="E266" i="3"/>
  <c r="E294" i="3"/>
  <c r="E388" i="3"/>
  <c r="E21" i="3"/>
  <c r="E146" i="3"/>
  <c r="Z6" i="3"/>
  <c r="E64" i="3"/>
  <c r="E434" i="3"/>
  <c r="E520" i="3"/>
  <c r="E140" i="3"/>
  <c r="E57" i="3"/>
  <c r="E223" i="3"/>
  <c r="E84" i="3"/>
  <c r="E292" i="3"/>
  <c r="E399" i="3"/>
  <c r="E431" i="3"/>
  <c r="E60" i="3"/>
  <c r="E317" i="3"/>
  <c r="E38" i="3"/>
  <c r="E178" i="3"/>
  <c r="E179" i="3"/>
  <c r="E313" i="3"/>
  <c r="E48" i="3"/>
  <c r="E444" i="3"/>
  <c r="E405" i="3"/>
  <c r="E455" i="3"/>
  <c r="E247" i="3"/>
  <c r="E190" i="3"/>
  <c r="E79" i="3"/>
  <c r="E539" i="3"/>
  <c r="E233" i="3"/>
  <c r="E272" i="3"/>
  <c r="E52" i="3"/>
  <c r="E402" i="3"/>
  <c r="E25" i="3"/>
  <c r="U6" i="3"/>
  <c r="E255" i="3"/>
  <c r="E479" i="3"/>
  <c r="E73" i="3"/>
  <c r="E145" i="3"/>
  <c r="E276" i="3"/>
  <c r="E211" i="3"/>
  <c r="E347" i="3"/>
  <c r="E526" i="3"/>
  <c r="E466" i="3"/>
  <c r="E58" i="3"/>
  <c r="E540" i="3"/>
  <c r="E198" i="3"/>
  <c r="E285" i="3"/>
  <c r="AI6" i="3"/>
  <c r="E290" i="3"/>
  <c r="E433" i="3"/>
  <c r="E234" i="3"/>
  <c r="E40" i="3"/>
  <c r="E300" i="3"/>
  <c r="E176" i="3"/>
  <c r="E228" i="3"/>
  <c r="E530" i="3"/>
  <c r="E525" i="3"/>
  <c r="E334" i="3"/>
  <c r="E403" i="3"/>
  <c r="E353" i="3"/>
  <c r="E396" i="3"/>
  <c r="E177" i="3"/>
  <c r="E236" i="3"/>
  <c r="E392" i="3"/>
  <c r="E90" i="3"/>
  <c r="E171" i="3"/>
  <c r="E360" i="3"/>
  <c r="E106" i="3"/>
  <c r="E531" i="3"/>
  <c r="E144" i="3"/>
  <c r="E226" i="3"/>
  <c r="E344" i="3"/>
  <c r="E506" i="3"/>
  <c r="E351" i="3"/>
  <c r="E366" i="3"/>
  <c r="E497" i="3"/>
  <c r="E368" i="3"/>
  <c r="E350" i="3"/>
  <c r="E553" i="3"/>
  <c r="E504" i="3"/>
  <c r="E352" i="3"/>
  <c r="E563" i="3"/>
  <c r="E244" i="3"/>
  <c r="E519" i="3"/>
  <c r="E268" i="3"/>
  <c r="E301" i="3"/>
  <c r="E544" i="3"/>
  <c r="E565" i="3"/>
  <c r="E356" i="3"/>
  <c r="E13" i="3"/>
  <c r="AO6" i="3"/>
  <c r="E68" i="3"/>
  <c r="E535" i="3"/>
  <c r="E114" i="3"/>
  <c r="E206" i="3"/>
  <c r="E22" i="3"/>
  <c r="E418" i="3"/>
  <c r="E333" i="3"/>
  <c r="E459" i="3"/>
  <c r="E92" i="3"/>
  <c r="E115" i="3"/>
  <c r="E231" i="3"/>
  <c r="E414" i="3"/>
  <c r="E195" i="3"/>
  <c r="E470" i="3"/>
  <c r="E202" i="3"/>
  <c r="X6" i="3"/>
  <c r="E83" i="3"/>
  <c r="E127" i="3"/>
  <c r="E387" i="3"/>
  <c r="E222" i="3"/>
  <c r="E215" i="3"/>
  <c r="R6" i="3"/>
  <c r="E430" i="3"/>
  <c r="E548" i="3"/>
  <c r="E125" i="3"/>
  <c r="E77" i="3"/>
  <c r="E454" i="3"/>
  <c r="AH6" i="3"/>
  <c r="E552" i="3"/>
  <c r="AK6" i="3"/>
  <c r="P6" i="3"/>
  <c r="E463" i="3"/>
  <c r="E205" i="3"/>
  <c r="AP6" i="3"/>
  <c r="E426" i="3"/>
  <c r="E478" i="3"/>
  <c r="E70" i="3"/>
  <c r="E75" i="3"/>
  <c r="E357" i="3"/>
  <c r="E151" i="3"/>
  <c r="J6" i="3"/>
  <c r="AS6" i="3"/>
  <c r="E53" i="3"/>
  <c r="E438" i="3"/>
  <c r="E383" i="3"/>
  <c r="E363" i="3"/>
  <c r="E568" i="3"/>
  <c r="E420" i="3"/>
  <c r="E401" i="3"/>
  <c r="E245" i="3"/>
  <c r="E203" i="3"/>
  <c r="E102" i="3"/>
  <c r="E451" i="3"/>
  <c r="E172" i="3"/>
  <c r="E258" i="3"/>
  <c r="E305" i="3"/>
  <c r="E417" i="3"/>
  <c r="E43" i="3"/>
  <c r="E279" i="3"/>
  <c r="E370" i="3"/>
  <c r="Y6" i="3"/>
  <c r="E400" i="3"/>
  <c r="E477" i="3"/>
  <c r="E197" i="3"/>
  <c r="E281" i="3"/>
  <c r="E239" i="3"/>
  <c r="E529" i="3"/>
  <c r="E559" i="3"/>
  <c r="E554" i="3"/>
  <c r="E538" i="3"/>
  <c r="E325" i="3"/>
  <c r="E50" i="3"/>
  <c r="E307" i="3"/>
  <c r="E373" i="3"/>
  <c r="E354" i="3"/>
  <c r="E169" i="3"/>
  <c r="E219" i="3"/>
  <c r="E335" i="3"/>
  <c r="AL6" i="3"/>
  <c r="E566" i="3"/>
  <c r="E496" i="3"/>
  <c r="E406" i="3"/>
  <c r="E138" i="3"/>
  <c r="E137" i="3"/>
  <c r="E175" i="3"/>
  <c r="E523" i="3"/>
  <c r="E241" i="3"/>
  <c r="E93" i="3"/>
  <c r="E437" i="3"/>
  <c r="E157" i="3"/>
  <c r="E570" i="3"/>
  <c r="E409" i="3"/>
  <c r="E321" i="3"/>
  <c r="E186" i="3"/>
  <c r="AD6" i="3"/>
  <c r="E253" i="3"/>
  <c r="E263" i="3"/>
  <c r="E327" i="3"/>
  <c r="E537" i="3"/>
  <c r="E82" i="3"/>
  <c r="E200" i="3"/>
  <c r="E54" i="3"/>
  <c r="E99" i="3"/>
  <c r="E389" i="3"/>
  <c r="E452" i="3"/>
  <c r="E101" i="3"/>
  <c r="E143" i="3"/>
  <c r="E343" i="3"/>
  <c r="E32" i="3"/>
  <c r="E367" i="3"/>
  <c r="E410" i="3"/>
  <c r="E447" i="3"/>
  <c r="E80" i="3"/>
  <c r="E109" i="3"/>
  <c r="Q6" i="3"/>
  <c r="E141" i="3"/>
  <c r="E148" i="3"/>
  <c r="E500" i="3"/>
  <c r="E34" i="3"/>
  <c r="E412" i="3"/>
  <c r="AE6" i="3"/>
  <c r="E550" i="3"/>
  <c r="E293" i="3"/>
  <c r="E113" i="3"/>
  <c r="E85" i="3"/>
  <c r="E257" i="3"/>
  <c r="E139" i="3"/>
  <c r="E39" i="3"/>
  <c r="O6" i="3"/>
  <c r="E556" i="3"/>
  <c r="E288" i="3"/>
  <c r="E207" i="3"/>
  <c r="E527" i="3"/>
  <c r="E196" i="3"/>
  <c r="E248" i="3"/>
  <c r="E308" i="3"/>
  <c r="E86" i="3"/>
  <c r="E561" i="3"/>
  <c r="E475" i="3"/>
  <c r="E41" i="3"/>
  <c r="E348" i="3"/>
  <c r="E59" i="3"/>
  <c r="E152" i="3"/>
  <c r="E394" i="3"/>
  <c r="E464" i="3"/>
  <c r="E46" i="3"/>
  <c r="E282" i="3"/>
  <c r="E209" i="3"/>
  <c r="E457" i="3"/>
  <c r="E375" i="3"/>
  <c r="E450" i="3"/>
  <c r="E349" i="3"/>
  <c r="AA6" i="3"/>
  <c r="E187" i="3"/>
  <c r="E311" i="3"/>
  <c r="E299" i="3"/>
  <c r="E225" i="3"/>
  <c r="E424" i="3"/>
  <c r="E103" i="3"/>
  <c r="E199" i="3"/>
  <c r="E164"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E122" i="3"/>
  <c r="E269" i="3"/>
  <c r="E378" i="3"/>
  <c r="E485" i="3"/>
  <c r="E562" i="3"/>
  <c r="E342" i="3"/>
  <c r="E532" i="3"/>
  <c r="E167" i="3"/>
  <c r="E572" i="3"/>
  <c r="E521" i="3"/>
  <c r="E494" i="3"/>
  <c r="E227" i="3"/>
  <c r="E461" i="3"/>
  <c r="E254" i="3"/>
  <c r="E71" i="3"/>
  <c r="E155" i="3"/>
  <c r="E316" i="3"/>
  <c r="E382" i="3"/>
  <c r="E541" i="3"/>
  <c r="E380" i="3"/>
  <c r="E481" i="3"/>
  <c r="W6" i="3"/>
  <c r="E126" i="3"/>
  <c r="E51" i="3"/>
  <c r="E134" i="3"/>
  <c r="E61" i="3"/>
  <c r="AF6" i="3"/>
  <c r="E128" i="3"/>
  <c r="E379" i="3"/>
  <c r="E324" i="3"/>
  <c r="K6" i="3"/>
  <c r="E217" i="3"/>
  <c r="E216" i="3"/>
  <c r="E474" i="3"/>
  <c r="E210" i="3"/>
  <c r="T6" i="3"/>
  <c r="E495" i="3"/>
  <c r="E163" i="3"/>
  <c r="E571" i="3"/>
  <c r="E330" i="3"/>
  <c r="E510" i="3"/>
  <c r="E273" i="3"/>
  <c r="E112" i="3"/>
  <c r="E252" i="3"/>
  <c r="E484" i="3"/>
  <c r="E503" i="3"/>
  <c r="E283" i="3"/>
  <c r="AN6" i="3"/>
  <c r="E280" i="3"/>
  <c r="E446" i="3"/>
  <c r="E270" i="3"/>
  <c r="E55" i="3"/>
  <c r="E221" i="3"/>
  <c r="E161" i="3"/>
  <c r="E31" i="3"/>
  <c r="E111" i="3"/>
  <c r="E88" i="3"/>
  <c r="E220" i="3"/>
  <c r="AR6" i="3"/>
  <c r="E453" i="3"/>
  <c r="E242" i="3"/>
  <c r="E331" i="3"/>
  <c r="E355" i="3"/>
  <c r="E456" i="3"/>
  <c r="E320" i="3"/>
  <c r="E339" i="3"/>
  <c r="E208" i="3"/>
  <c r="E518" i="3"/>
  <c r="E516" i="3"/>
  <c r="E328" i="3"/>
  <c r="E318" i="3"/>
  <c r="E513" i="3"/>
  <c r="E436" i="3"/>
  <c r="E181" i="3"/>
  <c r="E340" i="3"/>
  <c r="E240" i="3"/>
  <c r="E557" i="3"/>
  <c r="E286" i="3"/>
  <c r="E162" i="3"/>
  <c r="E87" i="3"/>
  <c r="E150" i="3"/>
  <c r="E558" i="3"/>
  <c r="AJ6" i="3"/>
  <c r="E284" i="3"/>
  <c r="E118" i="3"/>
  <c r="E483" i="3"/>
  <c r="E515" i="3"/>
  <c r="E488" i="3"/>
  <c r="E346" i="3"/>
  <c r="E229" i="3"/>
  <c r="E29" i="3"/>
  <c r="E502" i="3"/>
  <c r="E15" i="3"/>
  <c r="E364" i="3"/>
  <c r="E542" i="3"/>
  <c r="E96" i="3"/>
  <c r="E72" i="3"/>
  <c r="E191" i="3"/>
  <c r="E491" i="3"/>
  <c r="E432" i="3"/>
  <c r="E56" i="3"/>
  <c r="E338" i="3"/>
  <c r="E522" i="3"/>
  <c r="E130" i="3"/>
  <c r="E341" i="3"/>
  <c r="E326" i="3"/>
  <c r="E23" i="3"/>
  <c r="I6" i="3"/>
  <c r="E14" i="3"/>
  <c r="E59" i="40"/>
  <c r="O6" i="1"/>
  <c r="M16" i="1"/>
  <c r="K34" i="9"/>
  <c r="G16" i="1"/>
  <c r="J12" i="40" s="1"/>
  <c r="AP16" i="1"/>
  <c r="F22" i="11" s="1"/>
  <c r="D65" i="40"/>
  <c r="C67" i="40"/>
  <c r="W7" i="35"/>
  <c r="AC7" i="35"/>
  <c r="V38" i="35" s="1"/>
  <c r="I38" i="35" s="1"/>
  <c r="W7" i="36"/>
  <c r="AC7" i="36"/>
  <c r="V36" i="36" s="1"/>
  <c r="I36" i="36" s="1"/>
  <c r="AB7" i="35"/>
  <c r="T38" i="35" s="1"/>
  <c r="G38" i="35" s="1"/>
  <c r="U7" i="35"/>
  <c r="D70" i="39"/>
  <c r="C72" i="39"/>
  <c r="AA7" i="36"/>
  <c r="R36" i="36" s="1"/>
  <c r="S7" i="36"/>
  <c r="H7" i="21"/>
  <c r="E52" i="37"/>
  <c r="F52" i="37" s="1"/>
  <c r="G52" i="37" s="1"/>
  <c r="H52" i="37" s="1"/>
  <c r="I52" i="37" s="1"/>
  <c r="J52" i="37" s="1"/>
  <c r="K52" i="37" s="1"/>
  <c r="L52" i="37" s="1"/>
  <c r="M52" i="37" s="1"/>
  <c r="N52" i="37" s="1"/>
  <c r="O52" i="37" s="1"/>
  <c r="C31" i="43"/>
  <c r="C25" i="12"/>
  <c r="C30" i="44"/>
  <c r="C15" i="12"/>
  <c r="C15" i="43"/>
  <c r="C28" i="15"/>
  <c r="U7" i="36"/>
  <c r="AB7" i="36"/>
  <c r="T36" i="36" s="1"/>
  <c r="G36" i="36" s="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S7" i="35"/>
  <c r="AA7" i="35"/>
  <c r="R38" i="35" s="1"/>
  <c r="J7" i="37"/>
  <c r="F7" i="21"/>
  <c r="F13" i="44"/>
  <c r="C12" i="44" s="1"/>
  <c r="M11" i="15"/>
  <c r="J10" i="15" s="1"/>
  <c r="F11" i="15"/>
  <c r="M13" i="44"/>
  <c r="J12" i="44" s="1"/>
  <c r="M27" i="68"/>
  <c r="F6" i="68"/>
  <c r="M29" i="68"/>
  <c r="F58" i="15"/>
  <c r="F33" i="44"/>
  <c r="M22" i="68"/>
  <c r="J15" i="68"/>
  <c r="F9" i="68"/>
  <c r="M8" i="68"/>
  <c r="F13" i="68"/>
  <c r="M17" i="15"/>
  <c r="F37" i="68"/>
  <c r="E3" i="65"/>
  <c r="M26" i="68"/>
  <c r="C18" i="44"/>
  <c r="F38" i="68"/>
  <c r="F31" i="15"/>
  <c r="F43" i="68"/>
  <c r="M19" i="44"/>
  <c r="L48" i="68"/>
  <c r="F16" i="68"/>
  <c r="M28" i="68"/>
  <c r="J36" i="68"/>
  <c r="L47" i="68"/>
  <c r="M23" i="68"/>
  <c r="M24" i="68"/>
  <c r="F26" i="68"/>
  <c r="C16" i="15"/>
  <c r="F40" i="68"/>
  <c r="E2" i="65"/>
  <c r="M6" i="68"/>
  <c r="F42" i="68"/>
  <c r="F36" i="68"/>
  <c r="M9" i="68"/>
  <c r="F7" i="68"/>
  <c r="F8" i="68"/>
  <c r="S33" i="71" l="1"/>
  <c r="AA33" i="71"/>
  <c r="W33" i="71"/>
  <c r="AC33" i="71"/>
  <c r="AB33" i="71"/>
  <c r="U33" i="71"/>
  <c r="F7" i="33"/>
  <c r="J7" i="34"/>
  <c r="J7" i="21"/>
  <c r="W7" i="21" s="1"/>
  <c r="B40" i="1"/>
  <c r="F24" i="68" s="1"/>
  <c r="C24" i="68" s="1"/>
  <c r="F70" i="68"/>
  <c r="F63" i="68"/>
  <c r="C27" i="68"/>
  <c r="F50" i="68"/>
  <c r="L58" i="68"/>
  <c r="L59" i="68"/>
  <c r="Q75" i="68" s="1"/>
  <c r="F65" i="68"/>
  <c r="C6" i="68"/>
  <c r="J57" i="68"/>
  <c r="J55" i="68" s="1"/>
  <c r="J58" i="68" s="1"/>
  <c r="Q51" i="68" s="1"/>
  <c r="J53" i="68"/>
  <c r="Q53" i="68" s="1"/>
  <c r="I54" i="68"/>
  <c r="L56" i="68"/>
  <c r="F67" i="68"/>
  <c r="Q72" i="68"/>
  <c r="M7" i="68"/>
  <c r="F49" i="68"/>
  <c r="F64" i="68"/>
  <c r="C35" i="46"/>
  <c r="E35" i="46" s="1"/>
  <c r="T9" i="46"/>
  <c r="V9" i="46" s="1"/>
  <c r="C33" i="46"/>
  <c r="G33" i="46" s="1"/>
  <c r="I33" i="46" s="1"/>
  <c r="T16" i="46"/>
  <c r="V16" i="46" s="1"/>
  <c r="C36" i="46"/>
  <c r="E36" i="46" s="1"/>
  <c r="T15" i="46"/>
  <c r="V15" i="46" s="1"/>
  <c r="T14" i="46"/>
  <c r="V14" i="46" s="1"/>
  <c r="C38" i="46"/>
  <c r="E38" i="46" s="1"/>
  <c r="C39" i="46"/>
  <c r="G39" i="46" s="1"/>
  <c r="I39" i="46" s="1"/>
  <c r="T12" i="46"/>
  <c r="V12" i="46" s="1"/>
  <c r="C37" i="46"/>
  <c r="G37" i="46" s="1"/>
  <c r="I37" i="46" s="1"/>
  <c r="T8" i="46"/>
  <c r="V8" i="46" s="1"/>
  <c r="T13" i="46"/>
  <c r="V13" i="46" s="1"/>
  <c r="C34" i="46"/>
  <c r="E34" i="46" s="1"/>
  <c r="T11" i="46"/>
  <c r="V11" i="46" s="1"/>
  <c r="T10" i="46"/>
  <c r="V10" i="46" s="1"/>
  <c r="C29" i="46"/>
  <c r="C30" i="46" s="1"/>
  <c r="E30" i="46" s="1"/>
  <c r="T37" i="59"/>
  <c r="D37" i="59"/>
  <c r="N50" i="59"/>
  <c r="N51" i="59"/>
  <c r="T45" i="59"/>
  <c r="D45" i="59"/>
  <c r="J33" i="21"/>
  <c r="F33" i="21"/>
  <c r="H33" i="21"/>
  <c r="W19" i="21"/>
  <c r="AC19" i="21"/>
  <c r="AB19" i="21"/>
  <c r="U19" i="21"/>
  <c r="J7" i="33"/>
  <c r="AC7" i="33" s="1"/>
  <c r="V48" i="33" s="1"/>
  <c r="I48" i="33" s="1"/>
  <c r="AC7" i="21"/>
  <c r="F7" i="34"/>
  <c r="M17" i="46"/>
  <c r="N17" i="46"/>
  <c r="F17" i="11"/>
  <c r="C17" i="11" s="1"/>
  <c r="O17" i="46"/>
  <c r="H7" i="37"/>
  <c r="H7" i="34"/>
  <c r="AB7" i="34" s="1"/>
  <c r="T49" i="34" s="1"/>
  <c r="G49" i="34" s="1"/>
  <c r="F7" i="37"/>
  <c r="S7" i="37" s="1"/>
  <c r="AA27" i="39"/>
  <c r="S27" i="39"/>
  <c r="AB27" i="39"/>
  <c r="U27" i="39"/>
  <c r="Q74" i="15"/>
  <c r="C52" i="68"/>
  <c r="C10" i="68"/>
  <c r="C48" i="15"/>
  <c r="L47" i="44"/>
  <c r="F1" i="15"/>
  <c r="Q75" i="44"/>
  <c r="K16" i="1"/>
  <c r="C7" i="44"/>
  <c r="C40" i="44" s="1"/>
  <c r="O16" i="1"/>
  <c r="F18" i="11"/>
  <c r="C18" i="11" s="1"/>
  <c r="F33" i="12"/>
  <c r="C34" i="12" s="1"/>
  <c r="D33" i="12" s="1"/>
  <c r="J8" i="44"/>
  <c r="J7" i="44" s="1"/>
  <c r="Q75" i="15"/>
  <c r="Q54" i="44"/>
  <c r="Q76" i="44"/>
  <c r="J6" i="15"/>
  <c r="J5" i="15" s="1"/>
  <c r="AY6" i="3"/>
  <c r="AY487" i="3" s="1"/>
  <c r="E58" i="40"/>
  <c r="E67" i="39"/>
  <c r="E30" i="6"/>
  <c r="P14" i="1"/>
  <c r="I106" i="46"/>
  <c r="E16" i="6"/>
  <c r="E60" i="40"/>
  <c r="H105" i="46"/>
  <c r="K25" i="6"/>
  <c r="M25" i="6" s="1"/>
  <c r="I25" i="6" s="1"/>
  <c r="S25" i="6" s="1"/>
  <c r="K24" i="6"/>
  <c r="M24" i="6" s="1"/>
  <c r="I24" i="6" s="1"/>
  <c r="S24" i="6" s="1"/>
  <c r="K26" i="6"/>
  <c r="M26" i="6" s="1"/>
  <c r="I26" i="6" s="1"/>
  <c r="S26" i="6" s="1"/>
  <c r="K20" i="6"/>
  <c r="K22" i="6"/>
  <c r="M22" i="6" s="1"/>
  <c r="I22" i="6" s="1"/>
  <c r="S22" i="6" s="1"/>
  <c r="F31" i="6"/>
  <c r="I107" i="46"/>
  <c r="M109" i="46"/>
  <c r="D16" i="12"/>
  <c r="D19" i="12" s="1"/>
  <c r="C19" i="12" s="1"/>
  <c r="K21" i="6"/>
  <c r="H103" i="46"/>
  <c r="I105" i="46"/>
  <c r="C107" i="46"/>
  <c r="I102" i="46"/>
  <c r="E31" i="6"/>
  <c r="K23" i="6"/>
  <c r="M23" i="6" s="1"/>
  <c r="I23" i="6" s="1"/>
  <c r="S23" i="6" s="1"/>
  <c r="K19" i="6"/>
  <c r="D116" i="46"/>
  <c r="E116" i="46" s="1"/>
  <c r="F116" i="46" s="1"/>
  <c r="G116" i="46" s="1"/>
  <c r="H116" i="46" s="1"/>
  <c r="J104" i="46"/>
  <c r="D117" i="46"/>
  <c r="E117" i="46" s="1"/>
  <c r="F117" i="46" s="1"/>
  <c r="G117" i="46" s="1"/>
  <c r="H117" i="46" s="1"/>
  <c r="G102" i="46"/>
  <c r="I117" i="46"/>
  <c r="J117" i="46" s="1"/>
  <c r="K117" i="46" s="1"/>
  <c r="L117" i="46" s="1"/>
  <c r="M117" i="46" s="1"/>
  <c r="N104" i="46"/>
  <c r="D118" i="46"/>
  <c r="E118" i="46" s="1"/>
  <c r="F118" i="46" s="1"/>
  <c r="J109" i="46"/>
  <c r="I103" i="46"/>
  <c r="M103" i="46"/>
  <c r="L107" i="46"/>
  <c r="N106" i="46"/>
  <c r="F107" i="46"/>
  <c r="I104" i="46"/>
  <c r="D22" i="46"/>
  <c r="G103" i="46"/>
  <c r="G109" i="46"/>
  <c r="F102" i="46"/>
  <c r="N103" i="46"/>
  <c r="G104" i="46"/>
  <c r="F103" i="46"/>
  <c r="B115" i="46"/>
  <c r="C115" i="46" s="1"/>
  <c r="D115" i="46"/>
  <c r="E115" i="46" s="1"/>
  <c r="F115" i="46" s="1"/>
  <c r="G115" i="46" s="1"/>
  <c r="H115" i="46" s="1"/>
  <c r="B117" i="46"/>
  <c r="C117" i="46" s="1"/>
  <c r="E109" i="46"/>
  <c r="I116" i="46"/>
  <c r="J116" i="46" s="1"/>
  <c r="K116" i="46" s="1"/>
  <c r="L116" i="46" s="1"/>
  <c r="M116" i="46" s="1"/>
  <c r="I115" i="46"/>
  <c r="J115" i="46" s="1"/>
  <c r="K115" i="46" s="1"/>
  <c r="L115" i="46" s="1"/>
  <c r="M115" i="46" s="1"/>
  <c r="G118" i="46"/>
  <c r="H118" i="46" s="1"/>
  <c r="B116" i="46"/>
  <c r="C116" i="46" s="1"/>
  <c r="I118" i="46"/>
  <c r="J118" i="46" s="1"/>
  <c r="K118" i="46" s="1"/>
  <c r="L118" i="46" s="1"/>
  <c r="M118" i="46" s="1"/>
  <c r="E104" i="46"/>
  <c r="D10" i="11"/>
  <c r="D106" i="46"/>
  <c r="E106" i="46"/>
  <c r="D107" i="46"/>
  <c r="D45" i="9"/>
  <c r="E107" i="46"/>
  <c r="D102" i="46"/>
  <c r="E6" i="6"/>
  <c r="D22" i="12" s="1"/>
  <c r="C22" i="12" s="1"/>
  <c r="C20" i="12" s="1"/>
  <c r="N109" i="46"/>
  <c r="N102" i="46"/>
  <c r="G106" i="46"/>
  <c r="F105" i="46"/>
  <c r="F104" i="46"/>
  <c r="N107" i="46"/>
  <c r="G107" i="46"/>
  <c r="F109" i="46"/>
  <c r="C106" i="46"/>
  <c r="K107" i="46"/>
  <c r="E102" i="46"/>
  <c r="C102" i="46"/>
  <c r="K106" i="46"/>
  <c r="D103" i="46"/>
  <c r="D105" i="46"/>
  <c r="L38" i="9"/>
  <c r="B14" i="66" s="1"/>
  <c r="B1" i="66" s="1"/>
  <c r="C8" i="66" s="1"/>
  <c r="C21" i="4"/>
  <c r="O5" i="54" s="1"/>
  <c r="B45" i="63" s="1"/>
  <c r="AY290" i="3"/>
  <c r="E105" i="46"/>
  <c r="C103" i="46"/>
  <c r="K105" i="46"/>
  <c r="D104" i="46"/>
  <c r="D16" i="43"/>
  <c r="C16" i="43" s="1"/>
  <c r="AY281" i="3"/>
  <c r="C105" i="46"/>
  <c r="H106" i="46"/>
  <c r="H107" i="46"/>
  <c r="L109" i="46"/>
  <c r="L104" i="46"/>
  <c r="K104" i="46"/>
  <c r="K103" i="46"/>
  <c r="J106" i="46"/>
  <c r="J102" i="46"/>
  <c r="M106" i="46"/>
  <c r="M104" i="46"/>
  <c r="AY267" i="3"/>
  <c r="H104" i="46"/>
  <c r="H109" i="46"/>
  <c r="L103" i="46"/>
  <c r="L102" i="46"/>
  <c r="J103" i="46"/>
  <c r="M102" i="46"/>
  <c r="C109" i="46"/>
  <c r="L105" i="46"/>
  <c r="K102" i="46"/>
  <c r="J105" i="46"/>
  <c r="M107" i="46"/>
  <c r="AY147" i="3"/>
  <c r="H6" i="3"/>
  <c r="J12" i="39"/>
  <c r="AC12" i="39" s="1"/>
  <c r="F12" i="40"/>
  <c r="S12" i="40" s="1"/>
  <c r="P6" i="1"/>
  <c r="H12" i="40"/>
  <c r="U12" i="40" s="1"/>
  <c r="AC6" i="3"/>
  <c r="F12" i="39"/>
  <c r="L16" i="1"/>
  <c r="N16" i="1"/>
  <c r="C29" i="43" s="1"/>
  <c r="C13" i="43"/>
  <c r="S6" i="46"/>
  <c r="T6" i="46" s="1"/>
  <c r="V6" i="46" s="1"/>
  <c r="S2" i="46"/>
  <c r="T2" i="46" s="1"/>
  <c r="V2" i="46" s="1"/>
  <c r="S3" i="46"/>
  <c r="T3" i="46" s="1"/>
  <c r="V3" i="46" s="1"/>
  <c r="S5" i="46"/>
  <c r="T5" i="46" s="1"/>
  <c r="V5" i="46" s="1"/>
  <c r="S7" i="46"/>
  <c r="T7" i="46" s="1"/>
  <c r="V7" i="46" s="1"/>
  <c r="S4" i="46"/>
  <c r="T4" i="46" s="1"/>
  <c r="V4" i="46" s="1"/>
  <c r="H12" i="39"/>
  <c r="W12" i="40"/>
  <c r="AC12" i="40"/>
  <c r="W7" i="33"/>
  <c r="I40" i="36"/>
  <c r="J40" i="36" s="1"/>
  <c r="S7" i="33"/>
  <c r="AA7" i="33"/>
  <c r="R48" i="33" s="1"/>
  <c r="AC7" i="34"/>
  <c r="V49" i="34" s="1"/>
  <c r="I49" i="34" s="1"/>
  <c r="W7" i="34"/>
  <c r="R37" i="36"/>
  <c r="E36" i="36"/>
  <c r="G42" i="35"/>
  <c r="H42" i="35" s="1"/>
  <c r="G43" i="35"/>
  <c r="H43" i="35" s="1"/>
  <c r="D67" i="40"/>
  <c r="E65" i="40"/>
  <c r="R39" i="35"/>
  <c r="E38" i="35"/>
  <c r="U7" i="21"/>
  <c r="AB7" i="21"/>
  <c r="I42" i="35"/>
  <c r="J42" i="35" s="1"/>
  <c r="I43" i="35"/>
  <c r="J43" i="35" s="1"/>
  <c r="E33" i="46"/>
  <c r="H7" i="33"/>
  <c r="S7" i="21"/>
  <c r="AA7" i="21"/>
  <c r="S7" i="34"/>
  <c r="AA7" i="34"/>
  <c r="R49" i="34" s="1"/>
  <c r="G40" i="36"/>
  <c r="H40" i="36" s="1"/>
  <c r="G41" i="36"/>
  <c r="H41" i="36" s="1"/>
  <c r="AB7" i="37"/>
  <c r="T42" i="37" s="1"/>
  <c r="G42" i="37" s="1"/>
  <c r="U7" i="37"/>
  <c r="W7" i="37"/>
  <c r="AC7" i="37"/>
  <c r="V42" i="37" s="1"/>
  <c r="I42" i="37" s="1"/>
  <c r="U7" i="34"/>
  <c r="D72" i="39"/>
  <c r="E70" i="39"/>
  <c r="G35" i="46"/>
  <c r="I35" i="46" s="1"/>
  <c r="G38" i="46"/>
  <c r="I38" i="46" s="1"/>
  <c r="G34" i="46"/>
  <c r="I34" i="46" s="1"/>
  <c r="C27" i="46"/>
  <c r="C52" i="15"/>
  <c r="C10" i="15"/>
  <c r="C5" i="15" s="1"/>
  <c r="F41" i="68"/>
  <c r="AE6" i="1"/>
  <c r="M17" i="68"/>
  <c r="F31" i="68"/>
  <c r="F58" i="68"/>
  <c r="L52" i="44"/>
  <c r="C16" i="68"/>
  <c r="E39" i="46" l="1"/>
  <c r="E37" i="46"/>
  <c r="E29" i="46"/>
  <c r="G36" i="46"/>
  <c r="I36" i="46" s="1"/>
  <c r="F21" i="43"/>
  <c r="C23" i="43" s="1"/>
  <c r="D21" i="43" s="1"/>
  <c r="Q62" i="68"/>
  <c r="F26" i="44"/>
  <c r="C26" i="44" s="1"/>
  <c r="F26" i="12"/>
  <c r="C27" i="12" s="1"/>
  <c r="D26" i="12" s="1"/>
  <c r="C32" i="12" s="1"/>
  <c r="D30" i="12" s="1"/>
  <c r="F24" i="15"/>
  <c r="C24" i="15" s="1"/>
  <c r="M21" i="6"/>
  <c r="I21" i="6" s="1"/>
  <c r="S21" i="6" s="1"/>
  <c r="S8" i="1"/>
  <c r="F1" i="68"/>
  <c r="C5" i="68"/>
  <c r="C38" i="68" s="1"/>
  <c r="AY521" i="3"/>
  <c r="AY484" i="3"/>
  <c r="AY207" i="3"/>
  <c r="AY481" i="3"/>
  <c r="AY355" i="3"/>
  <c r="AY375" i="3"/>
  <c r="AY180" i="3"/>
  <c r="AY378" i="3"/>
  <c r="AY76" i="3"/>
  <c r="AY176" i="3"/>
  <c r="AY330" i="3"/>
  <c r="AY421" i="3"/>
  <c r="BI6" i="3"/>
  <c r="BE6" i="3"/>
  <c r="AY128" i="3"/>
  <c r="AY404" i="3"/>
  <c r="AY153" i="3"/>
  <c r="AY461" i="3"/>
  <c r="AY258" i="3"/>
  <c r="AY539" i="3"/>
  <c r="AY104" i="3"/>
  <c r="AY326" i="3"/>
  <c r="AY569" i="3"/>
  <c r="AY531" i="3"/>
  <c r="AY310" i="3"/>
  <c r="AY58" i="3"/>
  <c r="AY41" i="3"/>
  <c r="AY227" i="3"/>
  <c r="AY452" i="3"/>
  <c r="AY61" i="3"/>
  <c r="AY555" i="3"/>
  <c r="BH6" i="3"/>
  <c r="AY498" i="3"/>
  <c r="AY511" i="3"/>
  <c r="AY543" i="3"/>
  <c r="AY571" i="3"/>
  <c r="AY187" i="3"/>
  <c r="BM6" i="3"/>
  <c r="AY496" i="3"/>
  <c r="BS6" i="3"/>
  <c r="AY305" i="3"/>
  <c r="AY562" i="3"/>
  <c r="AY354" i="3"/>
  <c r="AY329" i="3"/>
  <c r="BJ6" i="3"/>
  <c r="AY236" i="3"/>
  <c r="AY554" i="3"/>
  <c r="AY316" i="3"/>
  <c r="AY343" i="3"/>
  <c r="AY418" i="3"/>
  <c r="AY356" i="3"/>
  <c r="AY38" i="3"/>
  <c r="BF6" i="3"/>
  <c r="AY465" i="3"/>
  <c r="AY179" i="3"/>
  <c r="AY193" i="3"/>
  <c r="AY457" i="3"/>
  <c r="AY396" i="3"/>
  <c r="AY49" i="3"/>
  <c r="AY88" i="3"/>
  <c r="AY376" i="3"/>
  <c r="AY174" i="3"/>
  <c r="AY183" i="3"/>
  <c r="AY390" i="3"/>
  <c r="AY57" i="3"/>
  <c r="AY385" i="3"/>
  <c r="AY454" i="3"/>
  <c r="AY565" i="3"/>
  <c r="AY195" i="3"/>
  <c r="AY264" i="3"/>
  <c r="AY371" i="3"/>
  <c r="AY566" i="3"/>
  <c r="D3" i="6"/>
  <c r="C40" i="39" s="1"/>
  <c r="H40" i="39" s="1"/>
  <c r="AY369" i="3"/>
  <c r="AY84" i="3"/>
  <c r="AY219" i="3"/>
  <c r="AY353" i="3"/>
  <c r="AY214" i="3"/>
  <c r="AY150" i="3"/>
  <c r="AY24" i="3"/>
  <c r="AY507" i="3"/>
  <c r="AY328" i="3"/>
  <c r="AY467" i="3"/>
  <c r="AY405" i="3"/>
  <c r="AY373" i="3"/>
  <c r="AY170" i="3"/>
  <c r="AY135" i="3"/>
  <c r="AY161" i="3"/>
  <c r="AY139" i="3"/>
  <c r="AY138" i="3"/>
  <c r="AY105" i="3"/>
  <c r="AY335" i="3"/>
  <c r="AY320" i="3"/>
  <c r="AY540" i="3"/>
  <c r="AY524" i="3"/>
  <c r="AY276" i="3"/>
  <c r="BG6" i="3"/>
  <c r="AY383" i="3"/>
  <c r="AY350" i="3"/>
  <c r="AY212" i="3"/>
  <c r="AY485" i="3"/>
  <c r="AY13" i="3"/>
  <c r="AY280" i="3"/>
  <c r="AY282" i="3"/>
  <c r="AY546" i="3"/>
  <c r="AY502" i="3"/>
  <c r="AY547" i="3"/>
  <c r="AY160" i="3"/>
  <c r="AY561" i="3"/>
  <c r="AY449" i="3"/>
  <c r="AY108" i="3"/>
  <c r="AY144" i="3"/>
  <c r="AY409" i="3"/>
  <c r="AY255" i="3"/>
  <c r="AY399" i="3"/>
  <c r="AY301" i="3"/>
  <c r="AY46" i="3"/>
  <c r="AY294" i="3"/>
  <c r="AY238" i="3"/>
  <c r="AY291" i="3"/>
  <c r="AY548" i="3"/>
  <c r="AY426" i="3"/>
  <c r="AY205" i="3"/>
  <c r="BL6" i="3"/>
  <c r="AY199" i="3"/>
  <c r="AY44" i="3"/>
  <c r="AY202" i="3"/>
  <c r="AY169" i="3"/>
  <c r="AY379" i="3"/>
  <c r="AY259" i="3"/>
  <c r="AY372" i="3"/>
  <c r="AY206" i="3"/>
  <c r="BA6" i="3"/>
  <c r="AY116" i="3"/>
  <c r="AY55" i="3"/>
  <c r="AY435" i="3"/>
  <c r="AY553" i="3"/>
  <c r="AY340" i="3"/>
  <c r="AY297" i="3"/>
  <c r="AY232" i="3"/>
  <c r="AY455" i="3"/>
  <c r="U33" i="21"/>
  <c r="AB33" i="21"/>
  <c r="W33" i="21"/>
  <c r="AC33" i="21"/>
  <c r="Q74" i="68"/>
  <c r="Q61" i="68"/>
  <c r="AA33" i="21"/>
  <c r="S33" i="21"/>
  <c r="J6" i="68"/>
  <c r="J5" i="68" s="1"/>
  <c r="C48" i="68"/>
  <c r="C47" i="68" s="1"/>
  <c r="C34" i="44"/>
  <c r="AA7" i="37"/>
  <c r="R42" i="37" s="1"/>
  <c r="E42" i="37" s="1"/>
  <c r="C19" i="11"/>
  <c r="C20" i="11" s="1"/>
  <c r="C21" i="11" s="1"/>
  <c r="C22" i="11" s="1"/>
  <c r="C23" i="11" s="1"/>
  <c r="B2" i="11" s="1"/>
  <c r="B3" i="11" s="1"/>
  <c r="F68" i="68"/>
  <c r="C47" i="15"/>
  <c r="C59" i="15" s="1"/>
  <c r="J26" i="44"/>
  <c r="J28" i="44"/>
  <c r="J31" i="44" s="1"/>
  <c r="Q67" i="44" s="1"/>
  <c r="M20" i="6"/>
  <c r="I20" i="6" s="1"/>
  <c r="S20" i="6" s="1"/>
  <c r="S7" i="1"/>
  <c r="K27" i="6"/>
  <c r="S6" i="1"/>
  <c r="J18" i="15"/>
  <c r="J24" i="15"/>
  <c r="J26" i="15"/>
  <c r="J20" i="44"/>
  <c r="AY211" i="3"/>
  <c r="AY393" i="3"/>
  <c r="AY474" i="3"/>
  <c r="AY279" i="3"/>
  <c r="AY16" i="3"/>
  <c r="AY441" i="3"/>
  <c r="AY22" i="3"/>
  <c r="AY470" i="3"/>
  <c r="AY509" i="3"/>
  <c r="AY248" i="3"/>
  <c r="AY132" i="3"/>
  <c r="AY319" i="3"/>
  <c r="AY114" i="3"/>
  <c r="AY519" i="3"/>
  <c r="AY341" i="3"/>
  <c r="AY80" i="3"/>
  <c r="AY14" i="3"/>
  <c r="AY190" i="3"/>
  <c r="AY134" i="3"/>
  <c r="AY428" i="3"/>
  <c r="AY459" i="3"/>
  <c r="AY173" i="3"/>
  <c r="AY346" i="3"/>
  <c r="AY374" i="3"/>
  <c r="AY242" i="3"/>
  <c r="AY406" i="3"/>
  <c r="AY471" i="3"/>
  <c r="AY508" i="3"/>
  <c r="AY366" i="3"/>
  <c r="AY401" i="3"/>
  <c r="AY506" i="3"/>
  <c r="AY537" i="3"/>
  <c r="AY348" i="3"/>
  <c r="AY226" i="3"/>
  <c r="AY159" i="3"/>
  <c r="AY200" i="3"/>
  <c r="AY314" i="3"/>
  <c r="AY222" i="3"/>
  <c r="AY177" i="3"/>
  <c r="AY90" i="3"/>
  <c r="AY260" i="3"/>
  <c r="AY364" i="3"/>
  <c r="AY101" i="3"/>
  <c r="AY54" i="3"/>
  <c r="AY322" i="3"/>
  <c r="AY126" i="3"/>
  <c r="AY28" i="3"/>
  <c r="AY493" i="3"/>
  <c r="AY492" i="3"/>
  <c r="AY499" i="3"/>
  <c r="AY32" i="3"/>
  <c r="AY210" i="3"/>
  <c r="AY98" i="3"/>
  <c r="AY398" i="3"/>
  <c r="AY124" i="3"/>
  <c r="AY35" i="3"/>
  <c r="AY549" i="3"/>
  <c r="AY233" i="3"/>
  <c r="AY317" i="3"/>
  <c r="AY479" i="3"/>
  <c r="AY392" i="3"/>
  <c r="AY92" i="3"/>
  <c r="AY43" i="3"/>
  <c r="BC6" i="3"/>
  <c r="AY518" i="3"/>
  <c r="AY308" i="3"/>
  <c r="AY127" i="3"/>
  <c r="AY336" i="3"/>
  <c r="BB6" i="3"/>
  <c r="AY149" i="3"/>
  <c r="AY215" i="3"/>
  <c r="AY362" i="3"/>
  <c r="AY443" i="3"/>
  <c r="AY62" i="3"/>
  <c r="AY436" i="3"/>
  <c r="AY40" i="3"/>
  <c r="AY100" i="3"/>
  <c r="AY538" i="3"/>
  <c r="AY462" i="3"/>
  <c r="AY309" i="3"/>
  <c r="AY550" i="3"/>
  <c r="BP6" i="3"/>
  <c r="AY526" i="3"/>
  <c r="AY556" i="3"/>
  <c r="AY424" i="3"/>
  <c r="AY552" i="3"/>
  <c r="AY469" i="3"/>
  <c r="AY123" i="3"/>
  <c r="AY489" i="3"/>
  <c r="AY121" i="3"/>
  <c r="AY414" i="3"/>
  <c r="AY266" i="3"/>
  <c r="AY527" i="3"/>
  <c r="AY231" i="3"/>
  <c r="AY119" i="3"/>
  <c r="AY427" i="3"/>
  <c r="BT6" i="3"/>
  <c r="AY131" i="3"/>
  <c r="AY241" i="3"/>
  <c r="AY19" i="3"/>
  <c r="AY117" i="3"/>
  <c r="AY287" i="3"/>
  <c r="AY265" i="3"/>
  <c r="AY410" i="3"/>
  <c r="AY118" i="3"/>
  <c r="AY408" i="3"/>
  <c r="AY197" i="3"/>
  <c r="AY458" i="3"/>
  <c r="AY263" i="3"/>
  <c r="AY440" i="3"/>
  <c r="AY70" i="3"/>
  <c r="AY99" i="3"/>
  <c r="AY220" i="3"/>
  <c r="AY110" i="3"/>
  <c r="AY439" i="3"/>
  <c r="AY59" i="3"/>
  <c r="AY230" i="3"/>
  <c r="AY103" i="3"/>
  <c r="AY189" i="3"/>
  <c r="AY520" i="3"/>
  <c r="AY541" i="3"/>
  <c r="AY303" i="3"/>
  <c r="AY136" i="3"/>
  <c r="AY56" i="3"/>
  <c r="AY225" i="3"/>
  <c r="AY87" i="3"/>
  <c r="AY194" i="3"/>
  <c r="AY209" i="3"/>
  <c r="AY67" i="3"/>
  <c r="AY386" i="3"/>
  <c r="AY445" i="3"/>
  <c r="AY224" i="3"/>
  <c r="AY430" i="3"/>
  <c r="AY407" i="3"/>
  <c r="AY186" i="3"/>
  <c r="AY563" i="3"/>
  <c r="AY164" i="3"/>
  <c r="AY477" i="3"/>
  <c r="AY433" i="3"/>
  <c r="AY342" i="3"/>
  <c r="AY53" i="3"/>
  <c r="AY351" i="3"/>
  <c r="AY72" i="3"/>
  <c r="AY466" i="3"/>
  <c r="AY245" i="3"/>
  <c r="AY262" i="3"/>
  <c r="AY483" i="3"/>
  <c r="AY542" i="3"/>
  <c r="AY97" i="3"/>
  <c r="AY272" i="3"/>
  <c r="AY368" i="3"/>
  <c r="AY203" i="3"/>
  <c r="AY432" i="3"/>
  <c r="AY172" i="3"/>
  <c r="AY394" i="3"/>
  <c r="AY544" i="3"/>
  <c r="AY107" i="3"/>
  <c r="AY163" i="3"/>
  <c r="AY285" i="3"/>
  <c r="AY514" i="3"/>
  <c r="AY423" i="3"/>
  <c r="AY503" i="3"/>
  <c r="AY463" i="3"/>
  <c r="AY165" i="3"/>
  <c r="AY516" i="3"/>
  <c r="AY402" i="3"/>
  <c r="AY434" i="3"/>
  <c r="AY249" i="3"/>
  <c r="AY482" i="3"/>
  <c r="AY534" i="3"/>
  <c r="AY65" i="3"/>
  <c r="AY244" i="3"/>
  <c r="AY315" i="3"/>
  <c r="AY21" i="3"/>
  <c r="AY30" i="3"/>
  <c r="AY420" i="3"/>
  <c r="AY81" i="3"/>
  <c r="AY155" i="3"/>
  <c r="AY324" i="3"/>
  <c r="AY412" i="3"/>
  <c r="AY221" i="3"/>
  <c r="AY122" i="3"/>
  <c r="AY429" i="3"/>
  <c r="AY39" i="3"/>
  <c r="AY545" i="3"/>
  <c r="AY63" i="3"/>
  <c r="AY478" i="3"/>
  <c r="AY447" i="3"/>
  <c r="AY442" i="3"/>
  <c r="AY339" i="3"/>
  <c r="AY71" i="3"/>
  <c r="AY284" i="3"/>
  <c r="AY185" i="3"/>
  <c r="AY572" i="3"/>
  <c r="AY344" i="3"/>
  <c r="AY89" i="3"/>
  <c r="AY289" i="3"/>
  <c r="AY312" i="3"/>
  <c r="AY370" i="3"/>
  <c r="AY306" i="3"/>
  <c r="AY102" i="3"/>
  <c r="AY240" i="3"/>
  <c r="AY313" i="3"/>
  <c r="AY388" i="3"/>
  <c r="AY302" i="3"/>
  <c r="AY453" i="3"/>
  <c r="AY365" i="3"/>
  <c r="AY510" i="3"/>
  <c r="AY247" i="3"/>
  <c r="AY332" i="3"/>
  <c r="AY34" i="3"/>
  <c r="AY277" i="3"/>
  <c r="AY47" i="3"/>
  <c r="AY331" i="3"/>
  <c r="AY252" i="3"/>
  <c r="AY419" i="3"/>
  <c r="AY525" i="3"/>
  <c r="AY564" i="3"/>
  <c r="AY384" i="3"/>
  <c r="AY156" i="3"/>
  <c r="AY94" i="3"/>
  <c r="AY17" i="3"/>
  <c r="AY304" i="3"/>
  <c r="AY325" i="3"/>
  <c r="AY446" i="3"/>
  <c r="AY422" i="3"/>
  <c r="AY292" i="3"/>
  <c r="AY337" i="3"/>
  <c r="AY243" i="3"/>
  <c r="AY82" i="3"/>
  <c r="AY321" i="3"/>
  <c r="AY51" i="3"/>
  <c r="AY270" i="3"/>
  <c r="AY497" i="3"/>
  <c r="AY403" i="3"/>
  <c r="AY296" i="3"/>
  <c r="AY536" i="3"/>
  <c r="AY286" i="3"/>
  <c r="AY162" i="3"/>
  <c r="AY363" i="3"/>
  <c r="AY513" i="3"/>
  <c r="AY129" i="3"/>
  <c r="AY411" i="3"/>
  <c r="AY85" i="3"/>
  <c r="AY140" i="3"/>
  <c r="AY357" i="3"/>
  <c r="AY380" i="3"/>
  <c r="AY318" i="3"/>
  <c r="AY488" i="3"/>
  <c r="AY79" i="3"/>
  <c r="AY69" i="3"/>
  <c r="BK6" i="3"/>
  <c r="AY367" i="3"/>
  <c r="AY95" i="3"/>
  <c r="AY257" i="3"/>
  <c r="AY359" i="3"/>
  <c r="AY152" i="3"/>
  <c r="AY327" i="3"/>
  <c r="AY196" i="3"/>
  <c r="AY472" i="3"/>
  <c r="AY438" i="3"/>
  <c r="AY251" i="3"/>
  <c r="AY551" i="3"/>
  <c r="AY448" i="3"/>
  <c r="AY560" i="3"/>
  <c r="AY349" i="3"/>
  <c r="AY31" i="3"/>
  <c r="AY191" i="3"/>
  <c r="AY476" i="3"/>
  <c r="AY96" i="3"/>
  <c r="AY151" i="3"/>
  <c r="AY307" i="3"/>
  <c r="AY141" i="3"/>
  <c r="AY352" i="3"/>
  <c r="AY188" i="3"/>
  <c r="AY29" i="3"/>
  <c r="AY112" i="3"/>
  <c r="AY528" i="3"/>
  <c r="AY168" i="3"/>
  <c r="AY273" i="3"/>
  <c r="BD6" i="3"/>
  <c r="AY456" i="3"/>
  <c r="AY464" i="3"/>
  <c r="AY288" i="3"/>
  <c r="AY382" i="3"/>
  <c r="AY494" i="3"/>
  <c r="AY400" i="3"/>
  <c r="AY208" i="3"/>
  <c r="AY473" i="3"/>
  <c r="AY42" i="3"/>
  <c r="AY175" i="3"/>
  <c r="AY334" i="3"/>
  <c r="AY522" i="3"/>
  <c r="AY26" i="3"/>
  <c r="AY256" i="3"/>
  <c r="AY91" i="3"/>
  <c r="AY512" i="3"/>
  <c r="AY74" i="3"/>
  <c r="AY416" i="3"/>
  <c r="AY223" i="3"/>
  <c r="AY73" i="3"/>
  <c r="AY115" i="3"/>
  <c r="AY501" i="3"/>
  <c r="AY444" i="3"/>
  <c r="AY52" i="3"/>
  <c r="AY361" i="3"/>
  <c r="AY274" i="3"/>
  <c r="AY558" i="3"/>
  <c r="AY27" i="3"/>
  <c r="AY68" i="3"/>
  <c r="AY333" i="3"/>
  <c r="AY500" i="3"/>
  <c r="AY475" i="3"/>
  <c r="AY275" i="3"/>
  <c r="AY120" i="3"/>
  <c r="BN6" i="3"/>
  <c r="AY468" i="3"/>
  <c r="AY515" i="3"/>
  <c r="AY137" i="3"/>
  <c r="AY529" i="3"/>
  <c r="AY20" i="3"/>
  <c r="AY559" i="3"/>
  <c r="AY178" i="3"/>
  <c r="AY36" i="3"/>
  <c r="AY86" i="3"/>
  <c r="AY557" i="3"/>
  <c r="AY142" i="3"/>
  <c r="AY295" i="3"/>
  <c r="AY246" i="3"/>
  <c r="AY25" i="3"/>
  <c r="AY431" i="3"/>
  <c r="AY133" i="3"/>
  <c r="AY425" i="3"/>
  <c r="AY480" i="3"/>
  <c r="AY397" i="3"/>
  <c r="AY15" i="3"/>
  <c r="AY213" i="3"/>
  <c r="AY391" i="3"/>
  <c r="AY235" i="3"/>
  <c r="AY143" i="3"/>
  <c r="AY158" i="3"/>
  <c r="AY533" i="3"/>
  <c r="AY450" i="3"/>
  <c r="AY83" i="3"/>
  <c r="AY48" i="3"/>
  <c r="AY181" i="3"/>
  <c r="AY261" i="3"/>
  <c r="AY201" i="3"/>
  <c r="AY217" i="3"/>
  <c r="AY323" i="3"/>
  <c r="AY146" i="3"/>
  <c r="AY486" i="3"/>
  <c r="AY293" i="3"/>
  <c r="AY271" i="3"/>
  <c r="AY111" i="3"/>
  <c r="AY229" i="3"/>
  <c r="AY268" i="3"/>
  <c r="AY66" i="3"/>
  <c r="AY505" i="3"/>
  <c r="AY377" i="3"/>
  <c r="AY300" i="3"/>
  <c r="AY33" i="3"/>
  <c r="AY157" i="3"/>
  <c r="AY234" i="3"/>
  <c r="AY490" i="3"/>
  <c r="AY184" i="3"/>
  <c r="AY109" i="3"/>
  <c r="AY415" i="3"/>
  <c r="AY381" i="3"/>
  <c r="AY125" i="3"/>
  <c r="AY360" i="3"/>
  <c r="AY218" i="3"/>
  <c r="AY253" i="3"/>
  <c r="AY250" i="3"/>
  <c r="AY37" i="3"/>
  <c r="AY216" i="3"/>
  <c r="AY311" i="3"/>
  <c r="AY254" i="3"/>
  <c r="AY437" i="3"/>
  <c r="AY239" i="3"/>
  <c r="AY417" i="3"/>
  <c r="BR6" i="3"/>
  <c r="AY298" i="3"/>
  <c r="AY93" i="3"/>
  <c r="AY358" i="3"/>
  <c r="AY269" i="3"/>
  <c r="AY228" i="3"/>
  <c r="AY113" i="3"/>
  <c r="AY148" i="3"/>
  <c r="AY130" i="3"/>
  <c r="BQ6" i="3"/>
  <c r="AY182" i="3"/>
  <c r="AY460" i="3"/>
  <c r="AY283" i="3"/>
  <c r="AY395" i="3"/>
  <c r="AY166" i="3"/>
  <c r="AY106" i="3"/>
  <c r="AY451" i="3"/>
  <c r="AY299" i="3"/>
  <c r="AY568" i="3"/>
  <c r="AY78" i="3"/>
  <c r="AY413" i="3"/>
  <c r="AY237" i="3"/>
  <c r="BO6" i="3"/>
  <c r="AY192" i="3"/>
  <c r="AY387" i="3"/>
  <c r="AY278" i="3"/>
  <c r="AY570" i="3"/>
  <c r="AY517" i="3"/>
  <c r="AY64" i="3"/>
  <c r="AY167" i="3"/>
  <c r="AY347" i="3"/>
  <c r="AY535" i="3"/>
  <c r="AY523" i="3"/>
  <c r="AY198" i="3"/>
  <c r="AY532" i="3"/>
  <c r="AY345" i="3"/>
  <c r="AY18" i="3"/>
  <c r="AY530" i="3"/>
  <c r="AY204" i="3"/>
  <c r="AY491" i="3"/>
  <c r="AY504" i="3"/>
  <c r="AY495" i="3"/>
  <c r="AY45" i="3"/>
  <c r="AY145" i="3"/>
  <c r="AY154" i="3"/>
  <c r="AY75" i="3"/>
  <c r="AY50" i="3"/>
  <c r="AY171" i="3"/>
  <c r="AY389" i="3"/>
  <c r="AY567" i="3"/>
  <c r="AY23" i="3"/>
  <c r="AY60" i="3"/>
  <c r="AY338" i="3"/>
  <c r="AY77" i="3"/>
  <c r="C16" i="12"/>
  <c r="P16" i="1"/>
  <c r="C13" i="12" s="1"/>
  <c r="C14" i="12" s="1"/>
  <c r="C7" i="66"/>
  <c r="D13" i="11"/>
  <c r="C13" i="11" s="1"/>
  <c r="M19" i="6"/>
  <c r="I19" i="6" s="1"/>
  <c r="H19" i="6" s="1"/>
  <c r="D113" i="46"/>
  <c r="E6" i="3"/>
  <c r="D6" i="6"/>
  <c r="K38" i="9"/>
  <c r="C14" i="66" s="1"/>
  <c r="B2" i="66" s="1"/>
  <c r="C22" i="4"/>
  <c r="D25" i="6"/>
  <c r="E46" i="9"/>
  <c r="E45" i="9"/>
  <c r="F45" i="9"/>
  <c r="E68" i="39"/>
  <c r="H21" i="6"/>
  <c r="D24" i="6"/>
  <c r="D15" i="6"/>
  <c r="D20" i="6"/>
  <c r="H23" i="6"/>
  <c r="E63" i="40"/>
  <c r="F46" i="9"/>
  <c r="D19" i="6"/>
  <c r="D5" i="6"/>
  <c r="D9" i="6"/>
  <c r="H25" i="6"/>
  <c r="D11" i="6"/>
  <c r="D22" i="6"/>
  <c r="H26" i="6"/>
  <c r="D23" i="6"/>
  <c r="R23" i="6" s="1"/>
  <c r="D21" i="6"/>
  <c r="D14" i="6"/>
  <c r="D29" i="6"/>
  <c r="H22" i="6"/>
  <c r="D28" i="6"/>
  <c r="D26" i="6"/>
  <c r="D8" i="6"/>
  <c r="D10" i="6"/>
  <c r="D12" i="6"/>
  <c r="D13" i="6"/>
  <c r="H24" i="6"/>
  <c r="AA12" i="40"/>
  <c r="W12" i="39"/>
  <c r="AB12" i="40"/>
  <c r="S12" i="39"/>
  <c r="AA12" i="39"/>
  <c r="C26" i="46"/>
  <c r="B2" i="46" s="1"/>
  <c r="C14" i="43"/>
  <c r="C17" i="43"/>
  <c r="AB12" i="39"/>
  <c r="U12" i="39"/>
  <c r="U7" i="33"/>
  <c r="AB7" i="33"/>
  <c r="T48" i="33" s="1"/>
  <c r="G48" i="33" s="1"/>
  <c r="E67" i="40"/>
  <c r="F65" i="40"/>
  <c r="E41" i="36"/>
  <c r="F41" i="36" s="1"/>
  <c r="E40" i="36"/>
  <c r="F40" i="36" s="1"/>
  <c r="R49" i="33"/>
  <c r="E48" i="33"/>
  <c r="G53" i="34"/>
  <c r="H53" i="34" s="1"/>
  <c r="G54" i="34"/>
  <c r="H54" i="34" s="1"/>
  <c r="G46" i="37"/>
  <c r="H46" i="37" s="1"/>
  <c r="G47" i="37"/>
  <c r="H47" i="37" s="1"/>
  <c r="E43" i="35"/>
  <c r="F43" i="35" s="1"/>
  <c r="E42" i="35"/>
  <c r="F42" i="35" s="1"/>
  <c r="R50" i="34"/>
  <c r="E49" i="34"/>
  <c r="I54" i="34" s="1"/>
  <c r="J54" i="34" s="1"/>
  <c r="C37" i="36"/>
  <c r="B3" i="36" s="1"/>
  <c r="B2" i="36" s="1"/>
  <c r="C36" i="36"/>
  <c r="I52" i="33"/>
  <c r="J52" i="33" s="1"/>
  <c r="I53" i="33"/>
  <c r="J53" i="33" s="1"/>
  <c r="F70" i="39"/>
  <c r="E72" i="39"/>
  <c r="I46" i="37"/>
  <c r="J46" i="37" s="1"/>
  <c r="C38" i="35"/>
  <c r="C39" i="35"/>
  <c r="B3" i="35" s="1"/>
  <c r="B2" i="35" s="1"/>
  <c r="I53" i="34"/>
  <c r="J53" i="34" s="1"/>
  <c r="I41" i="36"/>
  <c r="J41" i="36" s="1"/>
  <c r="Q69" i="44"/>
  <c r="L58" i="44"/>
  <c r="L61" i="44" s="1"/>
  <c r="C32" i="15"/>
  <c r="C38" i="15"/>
  <c r="AE7" i="1"/>
  <c r="F41" i="15"/>
  <c r="B7" i="67"/>
  <c r="E7" i="67"/>
  <c r="C17" i="15"/>
  <c r="F7" i="67"/>
  <c r="C17" i="68"/>
  <c r="F68" i="15" l="1"/>
  <c r="J29" i="15"/>
  <c r="E4" i="67"/>
  <c r="C32" i="68"/>
  <c r="F40" i="39"/>
  <c r="AA40" i="39" s="1"/>
  <c r="J40" i="39"/>
  <c r="W40" i="39" s="1"/>
  <c r="C59" i="68"/>
  <c r="C65" i="68"/>
  <c r="J24" i="68"/>
  <c r="J26" i="68"/>
  <c r="J29" i="68" s="1"/>
  <c r="J18" i="68"/>
  <c r="AC40" i="39"/>
  <c r="AB40" i="39"/>
  <c r="U40" i="39"/>
  <c r="B4" i="11"/>
  <c r="B5" i="11"/>
  <c r="R43" i="37"/>
  <c r="C43" i="37" s="1"/>
  <c r="B3" i="37" s="1"/>
  <c r="B2" i="37" s="1"/>
  <c r="C65" i="15"/>
  <c r="C33" i="68"/>
  <c r="J59" i="68"/>
  <c r="J60" i="68" s="1"/>
  <c r="H20" i="6"/>
  <c r="H27" i="6" s="1"/>
  <c r="Q58" i="44"/>
  <c r="Q49" i="44"/>
  <c r="Q55" i="44" s="1"/>
  <c r="S16" i="1"/>
  <c r="T6" i="1" s="1"/>
  <c r="C17" i="12"/>
  <c r="C18" i="12" s="1"/>
  <c r="C23" i="12" s="1"/>
  <c r="M27" i="6"/>
  <c r="S19" i="6"/>
  <c r="S27" i="6" s="1"/>
  <c r="I27" i="6"/>
  <c r="D16" i="6"/>
  <c r="D30" i="6"/>
  <c r="D27" i="6"/>
  <c r="R21" i="6"/>
  <c r="R8" i="1" s="1"/>
  <c r="R19" i="6"/>
  <c r="R24" i="6"/>
  <c r="R26" i="6"/>
  <c r="R22" i="6"/>
  <c r="D7" i="66"/>
  <c r="D8" i="66"/>
  <c r="A6" i="64"/>
  <c r="A6" i="51"/>
  <c r="B7" i="63" s="1"/>
  <c r="A20" i="64"/>
  <c r="A20" i="51"/>
  <c r="B15" i="63" s="1"/>
  <c r="N5" i="54"/>
  <c r="B43" i="63" s="1"/>
  <c r="R25" i="6"/>
  <c r="C18" i="43"/>
  <c r="C19" i="43" s="1"/>
  <c r="C25" i="43" s="1"/>
  <c r="C24" i="43" s="1"/>
  <c r="E3" i="67"/>
  <c r="G70" i="39"/>
  <c r="F72" i="39"/>
  <c r="C49" i="33"/>
  <c r="B3" i="33" s="1"/>
  <c r="B2" i="33" s="1"/>
  <c r="C48" i="33"/>
  <c r="E46" i="37"/>
  <c r="F46" i="37" s="1"/>
  <c r="E47" i="37"/>
  <c r="F47" i="37" s="1"/>
  <c r="E54" i="34"/>
  <c r="F54" i="34" s="1"/>
  <c r="E53" i="34"/>
  <c r="F53" i="34" s="1"/>
  <c r="C42" i="37"/>
  <c r="C49" i="34"/>
  <c r="C50" i="34"/>
  <c r="B3" i="34" s="1"/>
  <c r="B2" i="34" s="1"/>
  <c r="E52" i="33"/>
  <c r="F52" i="33" s="1"/>
  <c r="E53" i="33"/>
  <c r="F53" i="33" s="1"/>
  <c r="G65" i="40"/>
  <c r="F67" i="40"/>
  <c r="G52" i="33"/>
  <c r="H52" i="33" s="1"/>
  <c r="G53" i="33"/>
  <c r="H53" i="33" s="1"/>
  <c r="I47" i="37"/>
  <c r="J47" i="37" s="1"/>
  <c r="B2" i="67"/>
  <c r="D4" i="46"/>
  <c r="B4" i="46"/>
  <c r="B3" i="46"/>
  <c r="Q68" i="44"/>
  <c r="Q77" i="44" s="1"/>
  <c r="Q59" i="44"/>
  <c r="C14" i="68"/>
  <c r="S40" i="39" l="1"/>
  <c r="R20" i="6"/>
  <c r="R7" i="1" s="1"/>
  <c r="C15" i="68"/>
  <c r="C18" i="68"/>
  <c r="C60" i="68"/>
  <c r="Q49" i="68"/>
  <c r="Q64" i="44"/>
  <c r="T13" i="1"/>
  <c r="T8" i="1"/>
  <c r="T9" i="1"/>
  <c r="T11" i="1"/>
  <c r="T10" i="1"/>
  <c r="T12" i="1"/>
  <c r="T7" i="1"/>
  <c r="R6" i="1"/>
  <c r="D31" i="6"/>
  <c r="I5" i="6" s="1"/>
  <c r="C22" i="43"/>
  <c r="C21" i="43" s="1"/>
  <c r="C28" i="43" s="1"/>
  <c r="C30" i="43" s="1"/>
  <c r="C32" i="43" s="1"/>
  <c r="B2" i="43" s="1"/>
  <c r="H65" i="40"/>
  <c r="G67" i="40"/>
  <c r="G72" i="39"/>
  <c r="H70" i="39"/>
  <c r="B3" i="67"/>
  <c r="B4" i="67"/>
  <c r="C14" i="15"/>
  <c r="F35" i="68"/>
  <c r="F35" i="15"/>
  <c r="C16" i="44"/>
  <c r="M21" i="68"/>
  <c r="M21" i="15"/>
  <c r="I6" i="6" l="1"/>
  <c r="C11" i="71" s="1"/>
  <c r="R27" i="6"/>
  <c r="C19" i="68"/>
  <c r="C20" i="68" s="1"/>
  <c r="C26" i="68" s="1"/>
  <c r="J20" i="15"/>
  <c r="F62" i="15"/>
  <c r="C61" i="15" s="1"/>
  <c r="C34" i="15"/>
  <c r="J20" i="68"/>
  <c r="F62" i="68"/>
  <c r="C61" i="68" s="1"/>
  <c r="C58" i="68" s="1"/>
  <c r="C34" i="68"/>
  <c r="C31" i="68" s="1"/>
  <c r="R16" i="1"/>
  <c r="C13" i="39"/>
  <c r="L57" i="68"/>
  <c r="L60" i="68" s="1"/>
  <c r="L46" i="68" s="1"/>
  <c r="T16" i="1"/>
  <c r="C15" i="15"/>
  <c r="C18" i="15"/>
  <c r="C20" i="44"/>
  <c r="C17" i="44"/>
  <c r="B3" i="43"/>
  <c r="B4" i="43"/>
  <c r="B5" i="43"/>
  <c r="H72" i="39"/>
  <c r="I70" i="39"/>
  <c r="H67" i="40"/>
  <c r="I65" i="40"/>
  <c r="H11" i="71" l="1"/>
  <c r="J11" i="71"/>
  <c r="F11" i="71"/>
  <c r="C11" i="21"/>
  <c r="J11" i="21" s="1"/>
  <c r="C23" i="68"/>
  <c r="C29" i="68" s="1"/>
  <c r="F13" i="39"/>
  <c r="H13" i="39"/>
  <c r="J13" i="39"/>
  <c r="Q58" i="68"/>
  <c r="Q67" i="68"/>
  <c r="C21" i="44"/>
  <c r="C22" i="44" s="1"/>
  <c r="C28" i="44" s="1"/>
  <c r="C19" i="15"/>
  <c r="C20" i="15" s="1"/>
  <c r="J70" i="39"/>
  <c r="I72" i="39"/>
  <c r="I67" i="40"/>
  <c r="J65" i="40"/>
  <c r="S11" i="71" l="1"/>
  <c r="AA11" i="71"/>
  <c r="R48" i="71" s="1"/>
  <c r="AB11" i="71"/>
  <c r="T48" i="71" s="1"/>
  <c r="G48" i="71" s="1"/>
  <c r="U11" i="71"/>
  <c r="W11" i="71"/>
  <c r="AC11" i="71"/>
  <c r="V48" i="71" s="1"/>
  <c r="I48" i="71" s="1"/>
  <c r="H11" i="21"/>
  <c r="U11" i="21" s="1"/>
  <c r="F11" i="21"/>
  <c r="AA11" i="21" s="1"/>
  <c r="R48" i="21" s="1"/>
  <c r="AC13" i="39"/>
  <c r="W13" i="39"/>
  <c r="AA13" i="39"/>
  <c r="S13" i="39"/>
  <c r="Q50" i="68"/>
  <c r="J14" i="68"/>
  <c r="C56" i="68"/>
  <c r="C63" i="68" s="1"/>
  <c r="C36" i="68"/>
  <c r="J19" i="68"/>
  <c r="J17" i="68" s="1"/>
  <c r="C13" i="68"/>
  <c r="U13" i="39"/>
  <c r="AB13" i="39"/>
  <c r="W11" i="21"/>
  <c r="AC11" i="21"/>
  <c r="V48" i="21" s="1"/>
  <c r="I48" i="21" s="1"/>
  <c r="C26" i="15"/>
  <c r="C23" i="15"/>
  <c r="C25" i="44"/>
  <c r="C31" i="44" s="1"/>
  <c r="J72" i="39"/>
  <c r="K70" i="39"/>
  <c r="K65" i="40"/>
  <c r="J67" i="40"/>
  <c r="G53" i="71" l="1"/>
  <c r="H53" i="71" s="1"/>
  <c r="G52" i="71"/>
  <c r="H52" i="71" s="1"/>
  <c r="I52" i="71"/>
  <c r="J52" i="71" s="1"/>
  <c r="R49" i="71"/>
  <c r="E48" i="71"/>
  <c r="S11" i="21"/>
  <c r="AB11" i="21"/>
  <c r="T48" i="21" s="1"/>
  <c r="G48" i="21" s="1"/>
  <c r="G53" i="21" s="1"/>
  <c r="H53" i="21" s="1"/>
  <c r="I52" i="21"/>
  <c r="J52" i="21" s="1"/>
  <c r="E48" i="21"/>
  <c r="Q71" i="68"/>
  <c r="C37" i="68"/>
  <c r="C30" i="68" s="1"/>
  <c r="C39" i="68" s="1"/>
  <c r="C55" i="68"/>
  <c r="C64" i="68" s="1"/>
  <c r="C57" i="68" s="1"/>
  <c r="C66" i="68" s="1"/>
  <c r="C67" i="68" s="1"/>
  <c r="J35" i="68"/>
  <c r="J22" i="68"/>
  <c r="J13" i="68"/>
  <c r="J23" i="68" s="1"/>
  <c r="C29" i="15"/>
  <c r="C33" i="15" s="1"/>
  <c r="C31" i="15" s="1"/>
  <c r="Q51" i="44"/>
  <c r="J16" i="44"/>
  <c r="C35" i="44"/>
  <c r="C33" i="44" s="1"/>
  <c r="J21" i="44"/>
  <c r="J19" i="44" s="1"/>
  <c r="C38" i="44"/>
  <c r="C15" i="44"/>
  <c r="L65" i="40"/>
  <c r="K67" i="40"/>
  <c r="L70" i="39"/>
  <c r="K72" i="39"/>
  <c r="J39" i="68" l="1"/>
  <c r="J40" i="68" s="1"/>
  <c r="C49" i="71"/>
  <c r="B3" i="71" s="1"/>
  <c r="C48" i="71"/>
  <c r="E52" i="71"/>
  <c r="F52" i="71" s="1"/>
  <c r="E53" i="71"/>
  <c r="F53" i="71" s="1"/>
  <c r="I53" i="71"/>
  <c r="J53" i="71" s="1"/>
  <c r="G52" i="21"/>
  <c r="H52" i="21" s="1"/>
  <c r="R49" i="21"/>
  <c r="C49" i="21" s="1"/>
  <c r="B3" i="21" s="1"/>
  <c r="D8" i="12" s="1"/>
  <c r="J16" i="68"/>
  <c r="J25" i="68" s="1"/>
  <c r="C70" i="68"/>
  <c r="C40" i="68"/>
  <c r="C46" i="68" s="1"/>
  <c r="Q70" i="68"/>
  <c r="Q69" i="68" s="1"/>
  <c r="E53" i="21"/>
  <c r="F53" i="21" s="1"/>
  <c r="E52" i="21"/>
  <c r="F52" i="21" s="1"/>
  <c r="I53" i="21"/>
  <c r="J53" i="21" s="1"/>
  <c r="J19" i="15"/>
  <c r="J17" i="15" s="1"/>
  <c r="C36" i="15"/>
  <c r="J59" i="15"/>
  <c r="J60" i="15" s="1"/>
  <c r="C56" i="15"/>
  <c r="C13" i="15"/>
  <c r="J14" i="15"/>
  <c r="J13" i="15" s="1"/>
  <c r="J23" i="15" s="1"/>
  <c r="Q50" i="15"/>
  <c r="Q72" i="44"/>
  <c r="C39" i="44"/>
  <c r="C32" i="44" s="1"/>
  <c r="C42" i="44" s="1"/>
  <c r="C43" i="44"/>
  <c r="J15" i="44"/>
  <c r="J25" i="44" s="1"/>
  <c r="J24" i="44"/>
  <c r="L67" i="40"/>
  <c r="M65" i="40"/>
  <c r="M70" i="39"/>
  <c r="L72" i="39"/>
  <c r="L51" i="68"/>
  <c r="B2" i="71" l="1"/>
  <c r="E10" i="12" s="1"/>
  <c r="E8" i="12"/>
  <c r="C48" i="21"/>
  <c r="Q68" i="68"/>
  <c r="Q57" i="68"/>
  <c r="Q63" i="68" s="1"/>
  <c r="C43" i="68"/>
  <c r="Q66" i="68"/>
  <c r="Q76" i="68" s="1"/>
  <c r="Q48" i="68"/>
  <c r="Q54" i="68" s="1"/>
  <c r="B2" i="68"/>
  <c r="B3" i="68" s="1"/>
  <c r="J42" i="68"/>
  <c r="J43" i="68" s="1"/>
  <c r="B2" i="21"/>
  <c r="D10" i="12" s="1"/>
  <c r="J18" i="44"/>
  <c r="J27" i="44" s="1"/>
  <c r="Q49" i="15"/>
  <c r="C63" i="15"/>
  <c r="C60" i="15"/>
  <c r="C58" i="15" s="1"/>
  <c r="C55" i="15"/>
  <c r="C64" i="15" s="1"/>
  <c r="Q71" i="15"/>
  <c r="C37" i="15"/>
  <c r="C30" i="15" s="1"/>
  <c r="C39" i="15" s="1"/>
  <c r="J35" i="15"/>
  <c r="J22" i="15"/>
  <c r="J16" i="15" s="1"/>
  <c r="J25" i="15" s="1"/>
  <c r="Q71" i="44"/>
  <c r="Q70" i="44" s="1"/>
  <c r="C44" i="44"/>
  <c r="C45" i="44" s="1"/>
  <c r="B2" i="44" s="1"/>
  <c r="M67" i="40"/>
  <c r="N65" i="40"/>
  <c r="N67" i="40" s="1"/>
  <c r="N70" i="39"/>
  <c r="N72" i="39" s="1"/>
  <c r="M72" i="39"/>
  <c r="L51" i="15"/>
  <c r="L57" i="15" l="1"/>
  <c r="L60" i="15" s="1"/>
  <c r="L46" i="15" s="1"/>
  <c r="Q68" i="15"/>
  <c r="Q70" i="15"/>
  <c r="Q69" i="15" s="1"/>
  <c r="C40" i="15"/>
  <c r="J39" i="15"/>
  <c r="J40" i="15" s="1"/>
  <c r="C57" i="15"/>
  <c r="C66" i="15" s="1"/>
  <c r="C67" i="15" s="1"/>
  <c r="B4" i="44"/>
  <c r="B5" i="44"/>
  <c r="B3" i="44"/>
  <c r="J9" i="40"/>
  <c r="H9" i="40"/>
  <c r="F9" i="40"/>
  <c r="F9" i="39"/>
  <c r="H9" i="39"/>
  <c r="J9" i="39"/>
  <c r="Q67" i="15" l="1"/>
  <c r="Q58" i="15"/>
  <c r="C70" i="15"/>
  <c r="C46" i="15"/>
  <c r="Q66" i="15"/>
  <c r="B2" i="15"/>
  <c r="Q57" i="15"/>
  <c r="Q48" i="15"/>
  <c r="Q54" i="15" s="1"/>
  <c r="C43" i="15"/>
  <c r="J42" i="15"/>
  <c r="J43" i="15" s="1"/>
  <c r="W9" i="40"/>
  <c r="AC9" i="40"/>
  <c r="V44" i="40" s="1"/>
  <c r="I44" i="40" s="1"/>
  <c r="AC9" i="39"/>
  <c r="V49" i="39" s="1"/>
  <c r="I49" i="39" s="1"/>
  <c r="W9" i="39"/>
  <c r="S9" i="40"/>
  <c r="AA9" i="40"/>
  <c r="R44" i="40" s="1"/>
  <c r="AB9" i="39"/>
  <c r="T49" i="39" s="1"/>
  <c r="G49" i="39" s="1"/>
  <c r="U9" i="39"/>
  <c r="U9" i="40"/>
  <c r="AB9" i="40"/>
  <c r="T44" i="40" s="1"/>
  <c r="G44" i="40" s="1"/>
  <c r="S9" i="39"/>
  <c r="AA9" i="39"/>
  <c r="R49" i="39" s="1"/>
  <c r="B3" i="15" l="1"/>
  <c r="C8" i="12" s="1"/>
  <c r="C10" i="12" s="1"/>
  <c r="C6" i="12" s="1"/>
  <c r="Q76" i="15"/>
  <c r="Q63" i="15"/>
  <c r="G48" i="40"/>
  <c r="H48" i="40" s="1"/>
  <c r="G49" i="40"/>
  <c r="H49" i="40" s="1"/>
  <c r="R45" i="40"/>
  <c r="E44" i="40"/>
  <c r="I49" i="40" s="1"/>
  <c r="J49" i="40" s="1"/>
  <c r="I48" i="40"/>
  <c r="J48" i="40" s="1"/>
  <c r="G54" i="39"/>
  <c r="H54" i="39" s="1"/>
  <c r="G53" i="39"/>
  <c r="H53" i="39" s="1"/>
  <c r="I53" i="39"/>
  <c r="J53" i="39" s="1"/>
  <c r="E49" i="39"/>
  <c r="I54" i="39" s="1"/>
  <c r="J54" i="39" s="1"/>
  <c r="R50" i="39"/>
  <c r="C24" i="12" l="1"/>
  <c r="C29" i="12"/>
  <c r="E54" i="39"/>
  <c r="F54" i="39" s="1"/>
  <c r="E53" i="39"/>
  <c r="F53" i="39" s="1"/>
  <c r="C45" i="40"/>
  <c r="C44" i="40"/>
  <c r="C50" i="39"/>
  <c r="C49" i="39"/>
  <c r="E48" i="40"/>
  <c r="F48" i="40" s="1"/>
  <c r="E49" i="40"/>
  <c r="F49" i="40" s="1"/>
  <c r="C35" i="12" l="1"/>
  <c r="C33" i="12" s="1"/>
  <c r="C28" i="12"/>
  <c r="C26" i="12" s="1"/>
  <c r="C31" i="12" s="1"/>
  <c r="C30" i="12" s="1"/>
  <c r="B61" i="40"/>
  <c r="F61" i="40" s="1"/>
  <c r="B58" i="40"/>
  <c r="F58" i="40" s="1"/>
  <c r="B59" i="40"/>
  <c r="F59" i="40" s="1"/>
  <c r="B53" i="40"/>
  <c r="F53" i="40" s="1"/>
  <c r="B57" i="40"/>
  <c r="F57" i="40" s="1"/>
  <c r="F63" i="40"/>
  <c r="B2" i="40" s="1"/>
  <c r="B54" i="40"/>
  <c r="F54" i="40" s="1"/>
  <c r="B55" i="40"/>
  <c r="F55" i="40" s="1"/>
  <c r="B62" i="40"/>
  <c r="F62" i="40" s="1"/>
  <c r="B56" i="40"/>
  <c r="F56" i="40" s="1"/>
  <c r="B60" i="40"/>
  <c r="F60" i="40" s="1"/>
  <c r="B61" i="39"/>
  <c r="F61" i="39" s="1"/>
  <c r="B59" i="39"/>
  <c r="F59" i="39" s="1"/>
  <c r="B67" i="39"/>
  <c r="F67" i="39" s="1"/>
  <c r="B66" i="39"/>
  <c r="F66" i="39" s="1"/>
  <c r="B58" i="39"/>
  <c r="F58" i="39" s="1"/>
  <c r="B65" i="39"/>
  <c r="F65" i="39" s="1"/>
  <c r="B60" i="39"/>
  <c r="F60" i="39" s="1"/>
  <c r="B63" i="39"/>
  <c r="F63" i="39" s="1"/>
  <c r="B62" i="39"/>
  <c r="F62" i="39" s="1"/>
  <c r="B64" i="39"/>
  <c r="F64" i="39" s="1"/>
  <c r="C36" i="12" l="1"/>
  <c r="B2" i="12" s="1"/>
  <c r="F68" i="39"/>
  <c r="B2" i="39" s="1"/>
  <c r="B5" i="40"/>
  <c r="B4" i="40"/>
  <c r="B3" i="40"/>
  <c r="C19" i="9"/>
  <c r="D19" i="9"/>
  <c r="L43" i="9" l="1"/>
  <c r="B3" i="39"/>
  <c r="G19" i="9"/>
  <c r="L44" i="9"/>
  <c r="D22" i="9"/>
  <c r="B5" i="12"/>
  <c r="B4" i="12"/>
  <c r="B3" i="12"/>
  <c r="B5" i="39"/>
  <c r="B4" i="39"/>
  <c r="D21" i="9"/>
  <c r="C21" i="9"/>
  <c r="D20" i="9"/>
  <c r="C20" i="9"/>
  <c r="G21" i="9" l="1"/>
  <c r="G20" i="9"/>
  <c r="C32" i="9"/>
  <c r="N43" i="9"/>
  <c r="G22" i="9"/>
  <c r="O43" i="9" l="1"/>
  <c r="C33" i="9"/>
  <c r="O38" i="9"/>
  <c r="C42" i="9"/>
  <c r="C35" i="9"/>
  <c r="F42" i="9" s="1"/>
  <c r="C34" i="9"/>
  <c r="E42" i="9" l="1"/>
  <c r="P5" i="54" s="1"/>
  <c r="B46" i="63" s="1"/>
  <c r="M38" i="9"/>
  <c r="K27" i="9" s="1"/>
  <c r="D42" i="9"/>
  <c r="Q5" i="54" s="1"/>
  <c r="B47" i="63" s="1"/>
  <c r="N38" i="9"/>
  <c r="K28" i="9" s="1"/>
  <c r="K25" i="9"/>
  <c r="K26" i="9"/>
  <c r="C44" i="9"/>
  <c r="D63" i="9"/>
  <c r="D73" i="9" s="1"/>
  <c r="N73" i="9" s="1"/>
  <c r="N68" i="9"/>
  <c r="R5" i="54"/>
  <c r="B48" i="63" s="1"/>
  <c r="D14" i="66"/>
  <c r="F14" i="66" l="1"/>
  <c r="B5" i="66"/>
  <c r="E14" i="66"/>
  <c r="O39" i="9"/>
  <c r="E44" i="9"/>
  <c r="F44" i="9"/>
  <c r="D44" i="9"/>
  <c r="G14" i="66"/>
  <c r="B6" i="66" s="1"/>
  <c r="N69" i="9"/>
  <c r="C111" i="9"/>
  <c r="C104" i="9" s="1"/>
  <c r="C103" i="9"/>
  <c r="D70" i="9"/>
  <c r="C82" i="9"/>
  <c r="C81" i="9" s="1"/>
  <c r="C85" i="9" s="1"/>
  <c r="C86" i="9" s="1"/>
  <c r="D72" i="9" s="1"/>
  <c r="C96" i="9"/>
  <c r="C91" i="9" s="1"/>
  <c r="D71" i="9"/>
  <c r="D66" i="9" s="1"/>
  <c r="N72" i="9" s="1"/>
  <c r="D77" i="9"/>
  <c r="N75" i="9" s="1"/>
  <c r="C90" i="9"/>
  <c r="M84" i="9" l="1"/>
  <c r="N84" i="9" s="1"/>
  <c r="M85" i="9"/>
  <c r="N85" i="9" s="1"/>
  <c r="M88" i="9"/>
  <c r="N88" i="9" s="1"/>
  <c r="M83" i="9"/>
  <c r="N83" i="9" s="1"/>
  <c r="M86" i="9"/>
  <c r="N86" i="9" s="1"/>
  <c r="M87" i="9"/>
  <c r="N87" i="9" s="1"/>
  <c r="C113" i="9"/>
  <c r="C97" i="9"/>
  <c r="C5" i="66"/>
  <c r="D5" i="66"/>
  <c r="D6" i="66"/>
  <c r="C6" i="66"/>
  <c r="R6" i="54"/>
  <c r="B50" i="63" s="1"/>
  <c r="K29" i="9"/>
  <c r="K30" i="9" s="1"/>
  <c r="N89" i="9" l="1"/>
  <c r="O89" i="9" s="1"/>
  <c r="C98" i="9"/>
  <c r="E98" i="9" s="1"/>
  <c r="E99" i="9" s="1"/>
  <c r="C114" i="9"/>
  <c r="E114" i="9" s="1"/>
  <c r="E115" i="9" s="1"/>
  <c r="C99" i="9" l="1"/>
  <c r="C115" i="9"/>
  <c r="D76" i="9" l="1"/>
  <c r="D74" i="9" s="1"/>
  <c r="N74" i="9" s="1"/>
  <c r="O77" i="9" s="1"/>
  <c r="O79" i="9" s="1"/>
  <c r="O80" i="9" s="1"/>
  <c r="D117" i="9"/>
  <c r="O81" i="9" l="1"/>
  <c r="O78"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<sst xmlns="http://schemas.openxmlformats.org/spreadsheetml/2006/main" count="7738" uniqueCount="3087">
  <si>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</si>
  <si>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</si>
  <si>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</si>
  <si>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</si>
  <si>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</si>
  <si>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</si>
  <si>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</si>
  <si>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</si>
  <si>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</si>
  <si>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</si>
  <si>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</si>
  <si>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</si>
  <si>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</si>
  <si>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</si>
  <si>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</si>
  <si>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</si>
  <si>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</si>
  <si>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</si>
  <si>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</si>
  <si>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</si>
  <si>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</si>
  <si>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</si>
  <si>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</si>
  <si>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</si>
  <si>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</si>
  <si>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</si>
  <si>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</si>
  <si>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</si>
  <si>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</si>
  <si>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</si>
  <si>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</si>
  <si>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</si>
  <si>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</si>
  <si>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</si>
  <si>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</si>
  <si>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</si>
  <si>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</si>
  <si>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</si>
  <si>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</si>
  <si>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</si>
  <si>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</si>
  <si>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</si>
  <si>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</si>
  <si>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</si>
  <si>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</si>
  <si>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</si>
  <si>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</si>
  <si>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</si>
  <si>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</si>
  <si>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</si>
  <si>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</si>
  <si>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</si>
  <si>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</si>
  <si>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</si>
  <si>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</si>
  <si>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</si>
  <si>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</si>
  <si>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</si>
  <si>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</si>
  <si>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</si>
  <si>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</si>
  <si>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</si>
  <si>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</si>
  <si>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</si>
  <si>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</si>
  <si>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</si>
  <si>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</si>
  <si>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</si>
  <si>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</si>
  <si>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</si>
  <si>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</si>
  <si>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</si>
  <si>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</si>
  <si>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</si>
  <si>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</si>
  <si>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</si>
  <si>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</si>
  <si>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</si>
  <si>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</si>
  <si>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</si>
  <si>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</si>
  <si>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</si>
  <si>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</si>
  <si>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</si>
  <si>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</si>
  <si>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</si>
  <si>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</si>
  <si>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</si>
  <si>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</si>
  <si>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</si>
  <si>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</si>
  <si>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</si>
  <si>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</si>
  <si>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</si>
  <si>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</si>
  <si>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</si>
  <si>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</si>
  <si>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</si>
  <si>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</si>
  <si>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</si>
  <si>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</si>
  <si>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</si>
  <si>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</si>
  <si>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</si>
  <si>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</si>
  <si>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</si>
  <si>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</si>
  <si>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</si>
  <si>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</si>
  <si>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</si>
  <si>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</si>
  <si>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</si>
  <si>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</si>
  <si>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</si>
  <si>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</si>
  <si>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</si>
  <si>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</si>
  <si>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</si>
  <si>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</si>
  <si>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</si>
  <si>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</si>
  <si>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</si>
  <si>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</si>
  <si>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</si>
  <si>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</si>
  <si>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</si>
  <si>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</si>
  <si>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</si>
  <si>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</si>
  <si>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</si>
  <si>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</si>
  <si>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</si>
  <si>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</si>
  <si>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</si>
  <si>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</si>
  <si>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</si>
  <si>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</si>
  <si>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</si>
  <si>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</si>
  <si>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</si>
  <si>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</si>
  <si>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</si>
  <si>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</si>
  <si>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</si>
  <si>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</si>
  <si>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</si>
  <si>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</si>
  <si>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</si>
  <si>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</si>
  <si>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</si>
  <si>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</si>
  <si>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</si>
  <si>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</si>
  <si>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</si>
  <si>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</si>
  <si>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</si>
  <si>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</si>
  <si>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</si>
  <si>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</si>
  <si>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</si>
  <si>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</si>
  <si>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</si>
  <si>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</si>
  <si>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</si>
  <si>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</si>
  <si>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</si>
  <si>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</si>
  <si>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</si>
  <si>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</si>
  <si>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</si>
  <si>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</si>
  <si>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</si>
  <si>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</si>
  <si>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</si>
  <si>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</si>
  <si>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</si>
  <si>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</si>
  <si>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</si>
  <si>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</si>
  <si>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</si>
  <si>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</si>
  <si>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</si>
  <si>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</si>
  <si>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</si>
  <si>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</si>
  <si>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</si>
  <si>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</si>
  <si>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</si>
  <si>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</si>
  <si>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</si>
  <si>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</si>
  <si>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</si>
  <si>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</si>
  <si>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</si>
  <si>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</si>
  <si>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</si>
  <si>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</si>
  <si>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</si>
  <si>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</si>
  <si>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</si>
  <si>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</si>
  <si>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</si>
  <si>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</si>
  <si>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</si>
  <si>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</si>
  <si>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</si>
  <si>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</si>
  <si>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</si>
  <si>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</si>
  <si>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</si>
  <si>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</si>
  <si>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</si>
  <si>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</si>
  <si>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</si>
  <si>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</si>
  <si>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</si>
  <si>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</si>
  <si>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</si>
  <si>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</si>
  <si>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</si>
  <si>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</si>
  <si>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</si>
  <si>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</si>
  <si>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</si>
  <si>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</si>
  <si>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</si>
  <si>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</si>
  <si>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</si>
  <si>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</si>
  <si>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</si>
  <si>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</si>
  <si>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</si>
  <si>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</si>
  <si>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</si>
  <si>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</si>
  <si>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</si>
  <si>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</si>
  <si>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</si>
  <si>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</si>
  <si>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</si>
  <si>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</si>
  <si>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</si>
  <si>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</si>
  <si>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</si>
  <si>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</si>
  <si>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</si>
  <si>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</si>
  <si>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</si>
  <si>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</si>
  <si>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</si>
  <si>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</si>
  <si>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</si>
  <si>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</si>
  <si>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</si>
  <si>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</si>
  <si>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</si>
  <si>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</si>
  <si>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</si>
  <si>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</si>
  <si>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</si>
  <si>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</si>
  <si>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</si>
  <si>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</si>
  <si>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</si>
  <si>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</si>
  <si>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</si>
  <si>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</si>
  <si>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</si>
  <si>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</si>
  <si>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</si>
  <si>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</si>
  <si>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</si>
  <si>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</si>
  <si>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</si>
  <si>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</si>
  <si>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</si>
  <si>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</si>
  <si>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</si>
  <si>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</si>
  <si>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</si>
  <si>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</si>
  <si>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</si>
  <si>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</si>
  <si>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</si>
  <si>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</si>
  <si>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</si>
  <si>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</si>
  <si>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</si>
  <si>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</si>
  <si>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</si>
  <si>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</si>
  <si>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</si>
  <si>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</si>
  <si>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</si>
  <si>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</si>
  <si>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</si>
  <si>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</si>
  <si>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</si>
  <si>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</si>
  <si>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</si>
  <si>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</si>
  <si>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</si>
  <si>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</si>
  <si>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</si>
  <si>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</si>
  <si>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</si>
  <si>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</si>
  <si>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</si>
  <si>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</si>
  <si>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</si>
  <si>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</si>
  <si>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</si>
  <si>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</si>
  <si>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</si>
  <si>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</si>
  <si>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</si>
  <si>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</si>
  <si>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</si>
  <si>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</si>
  <si>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</si>
  <si>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</si>
  <si>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</si>
  <si>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</si>
  <si>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</si>
  <si>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</si>
  <si>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</si>
  <si>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</si>
  <si>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</si>
  <si>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</si>
  <si>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</si>
  <si>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</si>
  <si>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</si>
  <si>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</si>
  <si>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</si>
  <si>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</si>
  <si>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</si>
  <si>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</si>
  <si>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</si>
  <si>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</si>
  <si>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</si>
  <si>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</si>
  <si>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</si>
  <si>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</si>
  <si>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</si>
  <si>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</si>
  <si>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</si>
  <si>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</si>
  <si>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</si>
  <si>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</si>
  <si>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</si>
  <si>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</si>
  <si>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</si>
  <si>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</si>
  <si>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</si>
  <si>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</si>
  <si>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</si>
  <si>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</si>
  <si>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</si>
  <si>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</si>
  <si>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</si>
  <si>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</si>
  <si>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</si>
  <si>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</si>
  <si>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</si>
  <si>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</si>
  <si>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</si>
  <si>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</si>
  <si>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</si>
  <si>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</si>
  <si>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</si>
  <si>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</si>
  <si>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</si>
  <si>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</si>
  <si>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</si>
  <si>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</si>
  <si>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</si>
  <si>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</si>
  <si>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</si>
  <si>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</si>
  <si>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</si>
  <si>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</si>
  <si>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</si>
  <si>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</si>
  <si>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</si>
  <si>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</si>
  <si>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</si>
  <si>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</si>
  <si>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</si>
  <si>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</si>
  <si>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</si>
  <si>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</si>
  <si>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</si>
  <si>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</si>
  <si>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</si>
  <si>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</si>
  <si>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</si>
  <si>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</si>
  <si>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</si>
  <si>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</si>
  <si>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</si>
  <si>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</si>
  <si>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</si>
  <si>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</si>
  <si>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</si>
  <si>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</si>
  <si>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</si>
  <si>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</si>
  <si>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</si>
  <si>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</si>
  <si>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</si>
  <si>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</si>
  <si>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</si>
  <si>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</si>
  <si>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</si>
  <si>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</si>
  <si>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</si>
  <si>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</si>
  <si>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</si>
  <si>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</si>
  <si>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</si>
  <si>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</si>
  <si>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</si>
  <si>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</si>
  <si>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</si>
  <si>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</si>
  <si>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</si>
  <si>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</si>
  <si>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</si>
  <si>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</si>
  <si>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</si>
  <si>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</si>
  <si>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</si>
  <si>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</si>
  <si>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</si>
  <si>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</si>
  <si>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</si>
  <si>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</si>
  <si>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</si>
  <si>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</si>
  <si>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</si>
  <si>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</si>
  <si>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</si>
  <si>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</si>
  <si>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</si>
  <si>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</si>
  <si>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</si>
  <si>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</si>
  <si>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</si>
  <si>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</si>
  <si>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</si>
  <si>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</si>
  <si>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</si>
  <si>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</si>
  <si>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</si>
  <si>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</si>
  <si>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</si>
  <si>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</si>
  <si>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</si>
  <si>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</si>
  <si>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</si>
  <si>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</si>
  <si>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</si>
  <si>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</si>
  <si>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</si>
  <si>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</si>
  <si>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</si>
  <si>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</si>
  <si>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</si>
  <si>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</si>
  <si>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</si>
  <si>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</si>
  <si>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</si>
  <si>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</si>
  <si>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</si>
  <si>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</si>
  <si>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</si>
  <si>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</si>
  <si>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</si>
  <si>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</si>
  <si>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</si>
  <si>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</si>
  <si>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</si>
  <si>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</si>
  <si>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</si>
  <si>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</si>
  <si>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</si>
  <si>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</si>
  <si>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</si>
  <si>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</si>
  <si>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</si>
  <si>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</si>
  <si>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</si>
  <si>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</si>
  <si>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</si>
  <si>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</si>
  <si>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</si>
  <si>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</si>
  <si>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</si>
  <si>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</si>
  <si>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</si>
  <si>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</si>
  <si>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</si>
  <si>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</si>
  <si>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</si>
  <si>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</si>
  <si>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</si>
  <si>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</si>
  <si>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</si>
  <si>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</si>
  <si>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</si>
  <si>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</si>
  <si>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</si>
  <si>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</si>
  <si>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</si>
  <si>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</si>
  <si>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</si>
  <si>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</si>
  <si>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</si>
  <si>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</si>
  <si>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</si>
  <si>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</si>
  <si>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</si>
  <si>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</si>
  <si>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</si>
  <si>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</si>
  <si>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</si>
  <si>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</si>
  <si>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</si>
  <si>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</si>
  <si>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</si>
  <si>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</si>
  <si>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</si>
  <si>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</si>
  <si>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</si>
  <si>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</si>
  <si>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</si>
  <si>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</si>
  <si>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</si>
  <si>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</si>
  <si>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</si>
  <si>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</si>
  <si>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</si>
  <si>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</si>
  <si>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</si>
  <si>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</si>
  <si>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</si>
  <si>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</si>
  <si>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</si>
  <si>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</si>
  <si>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</si>
  <si>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</si>
  <si>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</si>
  <si>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</si>
  <si>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</si>
  <si>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</si>
  <si>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</si>
  <si>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</si>
  <si>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</si>
  <si>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</si>
  <si>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</si>
  <si>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</si>
  <si>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</si>
  <si>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</si>
  <si>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</si>
  <si>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</si>
  <si>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</si>
  <si>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</si>
  <si>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</si>
  <si>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</si>
  <si>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</si>
  <si>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</si>
  <si>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</si>
  <si>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</si>
  <si>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</si>
  <si>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</si>
  <si>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</si>
  <si>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</si>
  <si>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</si>
  <si>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</si>
  <si>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</si>
  <si>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</si>
  <si>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</si>
  <si>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</si>
  <si>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</si>
  <si>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</si>
  <si>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</si>
  <si>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</si>
  <si>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</si>
  <si>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</si>
  <si>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</si>
  <si>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</si>
  <si>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</si>
  <si>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</si>
  <si>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</si>
  <si>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</si>
  <si>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</si>
  <si>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</si>
  <si>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</si>
  <si>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</si>
  <si>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</si>
  <si>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</si>
  <si>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</si>
  <si>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</si>
  <si>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</si>
  <si>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</si>
  <si>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</si>
  <si>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</si>
  <si>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</si>
  <si>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</si>
  <si>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</si>
  <si>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</si>
  <si>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</si>
  <si>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</si>
  <si>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</si>
  <si>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</si>
  <si>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</si>
  <si>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</si>
  <si>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</si>
  <si>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</si>
  <si>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</si>
  <si>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</si>
  <si>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</si>
  <si>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</si>
  <si>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</si>
  <si>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</si>
  <si>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</si>
  <si>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</si>
  <si>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</si>
  <si>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</si>
  <si>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</si>
  <si>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</si>
  <si>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</si>
  <si>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</si>
  <si>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</si>
  <si>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</si>
  <si>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</si>
  <si>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</si>
  <si>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</si>
  <si>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</si>
  <si>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</si>
  <si>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</si>
  <si>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</si>
  <si>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</si>
  <si>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</si>
  <si>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</si>
  <si>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</si>
  <si>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</si>
  <si>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</si>
  <si>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</si>
  <si>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</si>
  <si>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</si>
  <si>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</si>
  <si>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</si>
  <si>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</si>
  <si>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</si>
  <si>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</si>
  <si>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</si>
  <si>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</si>
  <si>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</si>
  <si>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</si>
  <si>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</si>
  <si>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</si>
  <si>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</si>
  <si>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</si>
  <si>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</si>
  <si>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</si>
  <si>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</si>
  <si>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</si>
  <si>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</si>
  <si>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</si>
  <si>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</si>
  <si>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</si>
  <si>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</si>
  <si>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</si>
  <si>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</si>
  <si>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</si>
  <si>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</si>
  <si>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</si>
  <si>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</si>
  <si>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</si>
  <si>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</si>
  <si>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</si>
  <si>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</si>
  <si>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</si>
  <si>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</si>
  <si>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</si>
  <si>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</si>
  <si>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</si>
  <si>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</si>
  <si>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</si>
  <si>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</si>
  <si>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</si>
  <si>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</si>
  <si>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</si>
  <si>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</si>
  <si>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</si>
  <si>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</si>
  <si>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</si>
  <si>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</si>
  <si>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</si>
  <si>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</si>
  <si>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</si>
  <si>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</si>
  <si>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</si>
  <si>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</si>
  <si>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</si>
  <si>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</si>
  <si>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</si>
  <si>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</si>
  <si>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</si>
  <si>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</si>
  <si>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</si>
  <si>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</si>
  <si>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</si>
  <si>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</si>
  <si>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</si>
  <si>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</si>
  <si>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</si>
  <si>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</si>
  <si>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</si>
  <si>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</si>
  <si>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</si>
  <si>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</si>
  <si>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</si>
  <si>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</si>
  <si>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</si>
  <si>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</si>
  <si>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</si>
  <si>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</si>
  <si>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</si>
  <si>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</si>
  <si>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</si>
  <si>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</si>
  <si>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</si>
  <si>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</si>
  <si>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</si>
  <si>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</si>
  <si>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</si>
  <si>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</si>
  <si>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</si>
  <si>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</si>
  <si>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</si>
  <si>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</si>
  <si>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</si>
  <si>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</si>
  <si>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</si>
  <si>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</si>
  <si>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</si>
  <si>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</si>
  <si>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</si>
  <si>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</si>
  <si>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</si>
  <si>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</si>
  <si>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</si>
  <si>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</si>
  <si>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</si>
  <si>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</si>
  <si>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</si>
  <si>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</si>
  <si>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</si>
  <si>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</si>
  <si>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</si>
  <si>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</si>
  <si>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</si>
  <si>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</si>
  <si>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</si>
  <si>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</si>
  <si>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</si>
  <si>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</si>
  <si>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</si>
  <si>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</si>
  <si>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</si>
  <si>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</si>
  <si>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</si>
  <si>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</si>
  <si>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</si>
  <si>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</si>
  <si>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</si>
  <si>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</si>
  <si>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</si>
  <si>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</si>
  <si>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</si>
  <si>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</si>
  <si>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</si>
  <si>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</si>
  <si>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</si>
  <si>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</si>
  <si>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</si>
  <si>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</si>
  <si>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</si>
  <si>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</si>
  <si>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</si>
  <si>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</si>
  <si>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</si>
  <si>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</si>
  <si>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</si>
  <si>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</si>
  <si>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</si>
  <si>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</si>
  <si>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</si>
  <si>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</si>
  <si>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</si>
  <si>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</si>
  <si>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</si>
  <si>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</si>
  <si>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</si>
  <si>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</si>
  <si>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</si>
  <si>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</si>
  <si>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</si>
  <si>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</si>
  <si>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</si>
  <si>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</si>
  <si>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</si>
  <si>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</si>
  <si>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</si>
  <si>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</si>
  <si>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</si>
  <si>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</si>
  <si>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</si>
  <si>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</si>
  <si>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</si>
  <si>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</si>
  <si>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</si>
  <si>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</si>
  <si>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</si>
  <si>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</si>
  <si>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</si>
  <si>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</si>
  <si>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</si>
  <si>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</si>
  <si>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</si>
  <si>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</si>
  <si>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</si>
  <si>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</si>
  <si>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</si>
  <si>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</si>
  <si>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</si>
  <si>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</si>
  <si>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</si>
  <si>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</si>
  <si>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</si>
  <si>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</si>
  <si>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</si>
  <si>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</si>
  <si>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</si>
  <si>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</si>
  <si>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</si>
  <si>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</si>
  <si>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</si>
  <si>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</si>
  <si>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</si>
  <si>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</si>
  <si>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</si>
  <si>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</si>
  <si>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</si>
  <si>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</si>
  <si>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</si>
  <si>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</si>
  <si>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</si>
  <si>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</si>
  <si>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</si>
  <si>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</si>
  <si>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</si>
  <si>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</si>
  <si>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</si>
  <si>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</si>
  <si>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</si>
  <si>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</si>
  <si>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</si>
  <si>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</si>
  <si>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</si>
  <si>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</si>
  <si>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</si>
  <si>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</si>
  <si>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</si>
  <si>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</si>
  <si>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</si>
  <si>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</si>
  <si>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</si>
  <si>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</si>
  <si>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</si>
  <si>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</si>
  <si>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</si>
  <si>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</si>
  <si>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</si>
  <si>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</si>
  <si>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</si>
  <si>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</si>
  <si>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</si>
  <si>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</si>
  <si>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</si>
  <si>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</si>
  <si>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</si>
  <si>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</si>
  <si>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</si>
  <si>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</si>
  <si>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</si>
  <si>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</si>
  <si>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</si>
  <si>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</si>
  <si>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</si>
  <si>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</si>
  <si>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</si>
  <si>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</si>
  <si>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</si>
  <si>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</si>
  <si>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</si>
  <si>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</si>
  <si>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</si>
  <si>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</si>
  <si>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</si>
  <si>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</si>
  <si>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</si>
  <si>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</si>
  <si>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</si>
  <si>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</si>
  <si>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</si>
  <si>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</si>
  <si>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</si>
  <si>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</si>
  <si>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</si>
  <si>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</si>
  <si>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</si>
  <si>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</si>
  <si>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</si>
  <si>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</si>
  <si>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</si>
  <si>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</si>
  <si>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</si>
  <si>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</si>
  <si>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</si>
  <si>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</si>
  <si>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</si>
  <si>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</si>
  <si>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</si>
  <si>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</si>
  <si>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</si>
  <si>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</si>
  <si>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</si>
  <si>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</si>
  <si>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</si>
  <si>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</si>
  <si>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</si>
  <si>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</si>
  <si>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</si>
  <si>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</si>
  <si>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</si>
  <si>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</si>
  <si>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</si>
  <si>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</si>
  <si>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</si>
  <si>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</si>
  <si>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</si>
  <si>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</si>
  <si>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</si>
  <si>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</si>
  <si>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</si>
  <si>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</si>
  <si>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</si>
  <si>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</si>
  <si>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</si>
  <si>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</si>
  <si>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</si>
  <si>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</si>
  <si>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</si>
  <si>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</si>
  <si>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</si>
  <si>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</si>
  <si>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</si>
  <si>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</si>
  <si>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</si>
  <si>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</si>
  <si>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</si>
  <si>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</si>
  <si>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</si>
  <si>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</si>
  <si>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</si>
  <si>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</si>
  <si>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</si>
  <si>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</si>
  <si>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</si>
  <si>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</si>
  <si>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</si>
  <si>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</si>
  <si>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</si>
  <si>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</si>
  <si>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</si>
  <si>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</si>
  <si>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</si>
  <si>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</si>
  <si>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</si>
  <si>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</si>
  <si>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</si>
  <si>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</si>
  <si>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</si>
  <si>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</si>
  <si>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</si>
  <si>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</si>
  <si>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</si>
  <si>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</si>
  <si>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</si>
  <si>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</si>
  <si>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</si>
  <si>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</si>
  <si>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</si>
  <si>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</si>
  <si>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</si>
  <si>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</si>
  <si>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</si>
  <si>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</si>
  <si>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</si>
  <si>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</si>
  <si>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</si>
  <si>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</si>
  <si>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</si>
  <si>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</si>
  <si>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</si>
  <si>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</si>
  <si>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</si>
  <si>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</si>
  <si>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</si>
  <si>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</si>
  <si>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</si>
  <si>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</si>
  <si>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</si>
  <si>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</si>
  <si>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</si>
  <si>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</si>
  <si>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</si>
  <si>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</si>
  <si>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</si>
  <si>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</si>
  <si>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</si>
  <si>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</si>
  <si>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</si>
  <si>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</si>
  <si>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</si>
  <si>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</si>
  <si>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</si>
  <si>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</si>
  <si>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</si>
  <si>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</si>
  <si>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</si>
  <si>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</si>
  <si>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</si>
  <si>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</si>
  <si>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</si>
  <si>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</si>
  <si>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</si>
  <si>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</si>
  <si>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</si>
  <si>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</si>
  <si>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</si>
  <si>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</si>
  <si>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</si>
  <si>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</si>
  <si>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</si>
  <si>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</si>
  <si>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</si>
  <si>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</si>
  <si>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</si>
  <si>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</si>
  <si>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</si>
  <si>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</si>
  <si>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</si>
  <si>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</si>
  <si>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</si>
  <si>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</si>
  <si>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</si>
  <si>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</si>
  <si>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</si>
  <si>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</si>
  <si>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</si>
  <si>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</si>
  <si>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</si>
  <si>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</si>
  <si>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</si>
  <si>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</si>
  <si>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</si>
  <si>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</si>
  <si>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</si>
  <si>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</si>
  <si>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</si>
  <si>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</si>
  <si>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</si>
  <si>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</si>
  <si>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</si>
  <si>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</si>
  <si>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</si>
  <si>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</si>
  <si>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</si>
  <si>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</si>
  <si>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</si>
  <si>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</si>
  <si>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</si>
  <si>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</si>
  <si>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</si>
  <si>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</si>
  <si>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</si>
  <si>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</si>
  <si>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</si>
  <si>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</si>
  <si>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</si>
  <si>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</si>
  <si>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</si>
  <si>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</si>
  <si>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</si>
  <si>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</si>
  <si>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</si>
  <si>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</si>
  <si>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</si>
  <si>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</si>
  <si>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</si>
  <si>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</si>
  <si>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</si>
  <si>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</si>
  <si>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</si>
  <si>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</si>
  <si>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</si>
  <si>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</si>
  <si>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</si>
  <si>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</si>
  <si>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</si>
  <si>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</si>
  <si>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</si>
  <si>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</si>
  <si>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</si>
  <si>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</si>
  <si>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</si>
  <si>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</si>
  <si>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</si>
  <si>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</si>
  <si>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</si>
  <si>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</si>
  <si>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</si>
  <si>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</si>
  <si>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</si>
  <si>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</si>
  <si>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</si>
  <si>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</si>
  <si>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</si>
  <si>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</si>
  <si>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</si>
  <si>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</si>
  <si>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</si>
  <si>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</si>
  <si>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</si>
  <si>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</si>
  <si>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</si>
  <si>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</si>
  <si>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</si>
  <si>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</si>
  <si>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</si>
  <si>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</si>
  <si>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</si>
  <si>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</si>
  <si>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</si>
  <si>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</si>
  <si>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</si>
  <si>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</si>
  <si>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</si>
  <si>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</si>
  <si>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</si>
  <si>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</si>
  <si>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</si>
  <si>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</si>
  <si>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</si>
  <si>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</si>
  <si>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</si>
  <si>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</si>
  <si>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</si>
  <si>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</si>
  <si>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</si>
  <si>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</si>
  <si>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</si>
  <si>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</si>
  <si>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</si>
  <si>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</si>
  <si>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</si>
  <si>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</si>
  <si>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</si>
  <si>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</si>
  <si>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</si>
  <si>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</si>
  <si>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</si>
  <si>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</si>
  <si>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</si>
  <si>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</si>
  <si>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</si>
  <si>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</si>
  <si>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</si>
  <si>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</si>
  <si>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</si>
  <si>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</si>
  <si>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</si>
  <si>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</si>
  <si>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</si>
  <si>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</si>
  <si>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</si>
  <si>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</si>
  <si>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</si>
  <si>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</si>
  <si>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</si>
  <si>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</si>
  <si>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</si>
  <si>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</si>
  <si>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</si>
  <si>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</si>
  <si>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</si>
  <si>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</si>
  <si>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</si>
  <si>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</si>
  <si>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</si>
  <si>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</si>
  <si>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</si>
  <si>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</si>
  <si>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</si>
  <si>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</si>
  <si>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</si>
  <si>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</si>
  <si>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</si>
  <si>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</si>
  <si>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</si>
  <si>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</si>
  <si>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</si>
  <si>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</si>
  <si>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</si>
  <si>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</si>
  <si>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</si>
  <si>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</si>
  <si>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</si>
  <si>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</si>
  <si>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</si>
  <si>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</si>
  <si>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</si>
  <si>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</si>
  <si>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</si>
  <si>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</si>
  <si>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</si>
  <si>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</si>
  <si>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</si>
  <si>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</si>
  <si>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</si>
  <si>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</si>
  <si>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</si>
  <si>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</si>
  <si>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</si>
  <si>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</si>
  <si>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</si>
  <si>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</si>
  <si>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</si>
  <si>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</si>
  <si>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</si>
  <si>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</si>
  <si>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</si>
  <si>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</si>
  <si>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</si>
  <si>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</si>
  <si>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</si>
  <si>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</si>
  <si>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</si>
  <si>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</si>
  <si>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</si>
  <si>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</si>
  <si>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</si>
  <si>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</si>
  <si>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</si>
  <si>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</si>
  <si>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</si>
  <si>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</si>
  <si>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</si>
  <si>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</si>
  <si>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</si>
  <si>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</si>
  <si>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</si>
  <si>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</si>
  <si>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</si>
  <si>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</si>
  <si>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</si>
  <si>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</si>
  <si>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</si>
  <si>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</si>
  <si>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</si>
  <si>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</si>
  <si>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</si>
  <si>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</si>
  <si>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</si>
  <si>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</si>
  <si>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</si>
  <si>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</si>
  <si>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</si>
  <si>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</si>
  <si>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</si>
  <si>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</si>
  <si>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</si>
  <si>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</si>
  <si>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</si>
  <si>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</si>
  <si>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</si>
  <si>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</si>
  <si>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</si>
  <si>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</si>
  <si>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</si>
  <si>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</si>
  <si>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</si>
  <si>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</si>
  <si>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</si>
  <si>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</si>
  <si>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</si>
  <si>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</si>
  <si>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</si>
  <si>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</si>
  <si>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</si>
  <si>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</si>
  <si>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</si>
  <si>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</si>
  <si>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</si>
  <si>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</si>
  <si>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</si>
  <si>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</si>
  <si>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</si>
  <si>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</si>
  <si>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</si>
  <si>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</si>
  <si>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</si>
  <si>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</si>
  <si>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</si>
  <si>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</si>
  <si>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</si>
  <si>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</si>
  <si>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</si>
  <si>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</si>
  <si>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</si>
  <si>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</si>
  <si>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</si>
  <si>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</si>
  <si>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</si>
  <si>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</si>
  <si>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</si>
  <si>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</si>
  <si>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</si>
  <si>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</si>
  <si>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</si>
  <si>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</si>
  <si>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</si>
  <si>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</si>
  <si>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</si>
  <si>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</si>
  <si>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</si>
  <si>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</si>
  <si>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</si>
  <si>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</si>
  <si>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</si>
  <si>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</si>
  <si>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</si>
  <si>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</si>
  <si>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</si>
  <si>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</si>
  <si>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</si>
  <si>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</si>
  <si>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</si>
  <si>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</si>
  <si>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</si>
  <si>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</si>
  <si>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</si>
  <si>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</si>
  <si>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</si>
  <si>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</si>
  <si>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</si>
  <si>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</si>
  <si>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</si>
  <si>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</si>
  <si>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</si>
  <si>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</si>
  <si>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</si>
  <si>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</si>
  <si>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</si>
  <si>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</si>
  <si>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</si>
  <si>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</si>
  <si>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</si>
  <si>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</si>
  <si>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</si>
  <si>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</si>
  <si>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</si>
  <si>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</si>
  <si>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</si>
  <si>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</si>
  <si>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</si>
  <si>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</si>
  <si>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</si>
  <si>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</si>
  <si>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</si>
  <si>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</si>
  <si>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</si>
  <si>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</si>
  <si>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</si>
  <si>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</si>
  <si>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</si>
  <si>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</si>
  <si>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</si>
  <si>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</si>
  <si>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</si>
  <si>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</si>
  <si>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</si>
  <si>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</si>
  <si>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</si>
  <si>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</si>
  <si>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</si>
  <si>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</si>
  <si>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</si>
  <si>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</si>
  <si>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</si>
  <si>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</si>
  <si>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</si>
  <si>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</si>
  <si>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</si>
  <si>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</si>
  <si>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</si>
  <si>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</si>
  <si>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</si>
  <si>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</si>
  <si>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</si>
  <si>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</si>
  <si>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</si>
  <si>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</si>
  <si>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</si>
  <si>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</si>
  <si>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</si>
  <si>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</si>
  <si>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</si>
  <si>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</si>
  <si>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</si>
  <si>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</si>
  <si>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</si>
  <si>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</si>
  <si>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</si>
  <si>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</si>
  <si>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</si>
  <si>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</si>
  <si>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</si>
  <si>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</si>
  <si>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</si>
  <si>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</si>
  <si>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</si>
  <si>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</si>
  <si>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</si>
  <si>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</si>
  <si>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</si>
  <si>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</si>
  <si>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</si>
  <si>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</si>
  <si>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</si>
  <si>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</si>
  <si>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</si>
  <si>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</si>
  <si>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</si>
  <si>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</si>
  <si>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</si>
  <si>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</si>
  <si>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</si>
  <si>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</si>
  <si>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</si>
  <si>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</si>
  <si>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</si>
  <si>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</si>
  <si>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</si>
  <si>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</si>
  <si>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</si>
  <si>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</si>
  <si>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</si>
  <si>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</si>
  <si>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</si>
  <si>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</si>
  <si>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</si>
  <si>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</si>
  <si>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</si>
  <si>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</si>
  <si>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</si>
  <si>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</si>
  <si>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</si>
  <si>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</si>
  <si>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</si>
  <si>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</si>
  <si>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</si>
  <si>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</si>
  <si>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</si>
  <si>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</si>
  <si>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</si>
  <si>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</si>
  <si>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</si>
  <si>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</si>
  <si>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</si>
  <si>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</si>
  <si>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</si>
  <si>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</si>
  <si>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</si>
  <si>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</si>
  <si>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</si>
  <si>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</si>
  <si>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</si>
  <si>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</si>
  <si>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</si>
  <si>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</si>
  <si>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</si>
  <si>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</si>
  <si>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</si>
  <si>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</si>
  <si>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</si>
  <si>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</si>
  <si>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</si>
  <si>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</si>
  <si>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</si>
  <si>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</si>
  <si>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</si>
  <si>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</si>
  <si>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</si>
  <si>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</si>
  <si>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</si>
  <si>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</si>
  <si>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</si>
  <si>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</si>
  <si>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</si>
  <si>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</si>
  <si>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</si>
  <si>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</si>
  <si>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</si>
  <si>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</si>
  <si>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</si>
  <si>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</si>
  <si>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</si>
  <si>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</si>
  <si>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</si>
  <si>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</si>
  <si>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</si>
  <si>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</si>
  <si>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</si>
  <si>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</si>
  <si>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</si>
  <si>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</si>
  <si>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</si>
  <si>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</si>
  <si>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</si>
  <si>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</si>
  <si>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</si>
  <si>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</si>
  <si>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</si>
  <si>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</si>
  <si>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</si>
  <si>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</si>
  <si>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</si>
  <si>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</si>
  <si>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</si>
  <si>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</si>
  <si>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</si>
  <si>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</si>
  <si>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</si>
  <si>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</si>
  <si>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</si>
  <si>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</si>
  <si>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</si>
  <si>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</si>
  <si>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</si>
  <si>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</si>
  <si>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</si>
  <si>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</si>
  <si>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</si>
  <si>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</si>
  <si>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</si>
  <si>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</si>
  <si>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</si>
  <si>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</si>
  <si>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</si>
  <si>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</si>
  <si>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</si>
  <si>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</si>
  <si>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</si>
  <si>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</si>
  <si>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</si>
  <si>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</si>
  <si>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</si>
  <si>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</si>
  <si>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</si>
  <si>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</si>
  <si>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</si>
  <si>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</si>
  <si>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</si>
  <si>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</si>
  <si>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</si>
  <si>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</si>
  <si>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</si>
  <si>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</si>
  <si>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</si>
  <si>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</si>
  <si>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</si>
  <si>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</si>
  <si>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</si>
  <si>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</si>
  <si>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</si>
  <si>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</si>
  <si>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</si>
  <si>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</si>
  <si>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</si>
  <si>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</si>
  <si>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</si>
  <si>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</si>
  <si>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</si>
  <si>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</si>
  <si>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</si>
  <si>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</si>
  <si>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</si>
  <si>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</si>
  <si>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</si>
  <si>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</si>
  <si>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</si>
  <si>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</si>
  <si>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</si>
  <si>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</si>
  <si>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</si>
  <si>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</si>
  <si>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</si>
  <si>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</si>
  <si>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</si>
  <si>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</si>
  <si>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</si>
  <si>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</si>
  <si>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</si>
  <si>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</si>
  <si>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</si>
  <si>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</si>
  <si>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</si>
  <si>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</si>
  <si>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</si>
  <si>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</si>
  <si>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</si>
  <si>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</si>
  <si>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</si>
  <si>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</si>
  <si>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</si>
  <si>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</si>
  <si>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</si>
  <si>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</si>
  <si>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</si>
  <si>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</si>
  <si>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</si>
  <si>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</si>
  <si>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</si>
  <si>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</si>
  <si>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</si>
  <si>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</si>
  <si>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</si>
  <si>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</si>
  <si>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</si>
  <si>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</si>
  <si>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</si>
  <si>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</si>
  <si>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</si>
  <si>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</si>
  <si>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</si>
  <si>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</si>
  <si>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</si>
  <si>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</si>
  <si>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</si>
  <si>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</si>
  <si>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</si>
  <si>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</si>
  <si>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</si>
  <si>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</si>
  <si>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</si>
  <si>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</si>
  <si>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</si>
  <si>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</si>
  <si>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</si>
  <si>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</si>
  <si>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</si>
  <si>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</si>
  <si>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</si>
  <si>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</si>
  <si>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</si>
  <si>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</si>
  <si>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</si>
  <si>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</si>
  <si>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</si>
  <si>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</si>
  <si>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</si>
  <si>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</si>
  <si>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</si>
  <si>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</si>
  <si>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</si>
  <si>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</si>
  <si>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</si>
  <si>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</si>
  <si>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</si>
  <si>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</si>
  <si>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</si>
  <si>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</si>
  <si>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</si>
  <si>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</si>
  <si>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</si>
  <si>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</si>
  <si>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</si>
  <si>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</si>
  <si>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</si>
  <si>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</si>
  <si>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</si>
  <si>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</si>
  <si>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</si>
  <si>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</si>
  <si>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</si>
  <si>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</si>
  <si>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</si>
  <si>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</si>
  <si>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</si>
  <si>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</si>
  <si>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</si>
  <si>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</si>
  <si>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</si>
  <si>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</si>
  <si>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</si>
  <si>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</si>
  <si>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</si>
  <si>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</si>
  <si>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</si>
  <si>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</si>
  <si>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</si>
  <si>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</si>
  <si>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</si>
  <si>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</si>
  <si>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</si>
  <si>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</si>
  <si>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</si>
  <si>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</si>
  <si>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</si>
  <si>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</si>
  <si>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</si>
  <si>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</si>
  <si>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</si>
  <si>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</si>
  <si>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</si>
  <si>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</si>
  <si>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</si>
  <si>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</si>
  <si>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</si>
  <si>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</si>
  <si>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</si>
  <si>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</si>
  <si>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</si>
  <si>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</si>
  <si>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</si>
  <si>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</si>
  <si>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</si>
  <si>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</si>
  <si>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</si>
  <si>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</si>
  <si>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</si>
  <si>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</si>
  <si>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</si>
  <si>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</si>
  <si>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</si>
  <si>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</si>
  <si>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</si>
  <si>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</si>
  <si>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</si>
  <si>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</si>
  <si>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</si>
  <si>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</si>
  <si>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</si>
  <si>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</si>
  <si>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</si>
  <si>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</si>
  <si>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</si>
  <si>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</si>
  <si>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</si>
  <si>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</si>
  <si>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</si>
  <si>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</si>
  <si>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</si>
  <si>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</si>
  <si>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</si>
  <si>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</si>
  <si>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</si>
  <si>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</si>
  <si>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</si>
  <si>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</si>
  <si>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</si>
  <si>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</si>
  <si>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</si>
  <si>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</si>
  <si>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</si>
  <si>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</si>
  <si>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</si>
  <si>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</si>
  <si>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</si>
  <si>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</si>
  <si>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</si>
  <si>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</si>
  <si>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</si>
  <si>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</si>
  <si>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</si>
  <si>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</si>
  <si>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</si>
  <si>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</si>
  <si>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</si>
  <si>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</si>
  <si>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</si>
  <si>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</si>
  <si>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</si>
  <si>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</si>
  <si>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</si>
  <si>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</si>
  <si>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</si>
  <si>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</si>
  <si>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</si>
  <si>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</si>
  <si>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</si>
  <si>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</si>
  <si>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</si>
  <si>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</si>
  <si>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</si>
  <si>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</si>
  <si>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</si>
  <si>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</si>
  <si>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</si>
  <si>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</si>
  <si>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</si>
  <si>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</si>
  <si>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</si>
  <si>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</si>
  <si>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</si>
  <si>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</si>
  <si>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</si>
  <si>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</si>
  <si>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</si>
  <si>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</si>
  <si>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</si>
  <si>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</si>
  <si>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</si>
  <si>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</si>
  <si>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</si>
  <si>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</si>
  <si>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</si>
  <si>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</si>
  <si>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</si>
  <si>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</si>
  <si>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</si>
  <si>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</si>
  <si>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</si>
  <si>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</si>
  <si>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</si>
  <si>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</si>
  <si>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</si>
  <si>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</si>
  <si>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</si>
  <si>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</si>
  <si>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</si>
  <si>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</si>
  <si>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</si>
  <si>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</si>
  <si>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</si>
  <si>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</si>
  <si>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</si>
  <si>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</si>
  <si>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</si>
  <si>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</si>
  <si>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</si>
  <si>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</si>
  <si>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</si>
  <si>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</si>
  <si>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</si>
  <si>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</si>
  <si>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</si>
  <si>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</si>
  <si>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</si>
  <si>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</si>
  <si>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</si>
  <si>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</si>
  <si>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</si>
  <si>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</si>
  <si>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</si>
  <si>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</si>
  <si>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</si>
  <si>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</si>
  <si>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</si>
  <si>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</si>
  <si>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</si>
  <si>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</si>
  <si>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</si>
  <si>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</si>
  <si>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</si>
  <si>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</si>
  <si>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</si>
  <si>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</si>
  <si>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</si>
  <si>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</si>
  <si>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</si>
  <si>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</si>
  <si>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</si>
  <si>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</si>
  <si>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</si>
  <si>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</si>
  <si>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</si>
  <si>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</si>
  <si>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</si>
  <si>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</si>
  <si>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</si>
  <si>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</si>
  <si>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</si>
  <si>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</si>
  <si>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</si>
  <si>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</si>
  <si>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</si>
  <si>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</si>
  <si>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</si>
  <si>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</si>
  <si>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</si>
  <si>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</si>
  <si>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</si>
  <si>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</si>
  <si>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</si>
  <si>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</si>
  <si>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</si>
  <si>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</si>
  <si>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</si>
  <si>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</si>
  <si>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</si>
  <si>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</si>
  <si>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</si>
  <si>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</si>
  <si>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</si>
  <si>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</si>
  <si>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</si>
  <si>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</si>
  <si>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</si>
  <si>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</si>
  <si>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</si>
  <si>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</si>
  <si>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</si>
  <si>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</si>
  <si>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</si>
  <si>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</si>
  <si>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</si>
  <si>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</si>
  <si>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</si>
  <si>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</si>
  <si>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</si>
  <si>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</si>
  <si>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</si>
  <si>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</si>
  <si>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</si>
  <si>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</si>
  <si>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</si>
  <si>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</si>
  <si>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</si>
  <si>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</si>
  <si>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</si>
  <si>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</si>
  <si>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</si>
  <si>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</si>
  <si>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</si>
  <si>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</si>
  <si>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</si>
  <si>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</si>
  <si>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</si>
  <si>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</si>
  <si>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</si>
  <si>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</si>
  <si>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</si>
  <si>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</si>
  <si>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</si>
  <si>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</si>
  <si>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</si>
  <si>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</si>
  <si>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</si>
  <si>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</si>
  <si>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</si>
  <si>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</si>
  <si>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</si>
  <si>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</si>
  <si>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</si>
  <si>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</si>
  <si>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</si>
  <si>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</si>
  <si>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</si>
  <si>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</si>
  <si>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</si>
  <si>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</si>
  <si>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</si>
  <si>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</si>
  <si>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</si>
  <si>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</si>
  <si>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</si>
  <si>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</si>
  <si>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</si>
  <si>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</si>
  <si>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</si>
  <si>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</si>
  <si>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</si>
  <si>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</si>
  <si>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</si>
  <si>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</si>
  <si>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</si>
  <si>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</si>
  <si>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</si>
  <si>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</si>
  <si>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</si>
  <si>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</si>
  <si>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</si>
  <si>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</si>
  <si>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</si>
  <si>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</si>
  <si>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</si>
  <si>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</si>
  <si>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</si>
  <si>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</si>
  <si>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</si>
  <si>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</si>
  <si>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</si>
  <si>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</si>
  <si>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</si>
  <si>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</si>
  <si>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</si>
  <si>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</si>
  <si>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</si>
  <si>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</si>
  <si>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</si>
  <si>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</si>
  <si>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</si>
  <si>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</si>
  <si>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</si>
  <si>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</si>
  <si>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</si>
  <si>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</si>
  <si>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</si>
  <si>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</si>
  <si>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</si>
  <si>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</si>
  <si>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</si>
  <si>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</si>
  <si>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</si>
  <si>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</si>
  <si>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</si>
  <si>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</si>
  <si>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</si>
  <si>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</si>
  <si>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</si>
  <si>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</si>
  <si>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</si>
  <si>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</si>
  <si>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</si>
  <si>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</si>
  <si>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</si>
  <si>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</si>
  <si>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</si>
  <si>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</si>
  <si>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</si>
  <si>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</si>
  <si>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</si>
  <si>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</si>
  <si>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</si>
  <si>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</si>
  <si>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</si>
  <si>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</si>
  <si>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</si>
  <si>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</si>
  <si>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</si>
  <si>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</si>
  <si>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</si>
  <si>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</si>
  <si>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</si>
  <si>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</si>
  <si>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</si>
  <si>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</si>
  <si>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</si>
  <si>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</si>
  <si>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</si>
  <si>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</si>
  <si>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</si>
  <si>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</si>
  <si>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</si>
  <si>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</si>
  <si>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</si>
  <si>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</si>
  <si>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</si>
  <si>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</si>
  <si>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</si>
  <si>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</si>
  <si>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</si>
  <si>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</si>
  <si>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</si>
  <si>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</si>
  <si>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</si>
  <si>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</si>
  <si>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</si>
  <si>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</si>
  <si>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</si>
  <si>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</si>
  <si>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</si>
  <si>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</si>
  <si>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</si>
  <si>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</si>
  <si>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</si>
  <si>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</si>
  <si>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</si>
  <si>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</si>
  <si>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</si>
  <si>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</si>
  <si>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</si>
  <si>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</si>
  <si>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</si>
  <si>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</si>
  <si>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</si>
  <si>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</si>
  <si>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</si>
  <si>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</si>
  <si>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</si>
  <si>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</si>
  <si>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</si>
  <si>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</si>
  <si>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</si>
  <si>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</si>
  <si>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</si>
  <si>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</si>
  <si>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</si>
  <si>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</si>
  <si>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</si>
  <si>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</si>
  <si>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</si>
  <si>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</si>
  <si>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</si>
  <si>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</si>
  <si>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</si>
  <si>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</si>
  <si>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</si>
  <si>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</si>
  <si>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</si>
  <si>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</si>
  <si>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</si>
  <si>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</si>
  <si>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</si>
  <si>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</si>
  <si>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</si>
  <si>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</si>
  <si>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</si>
  <si>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</si>
  <si>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</si>
  <si>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</si>
  <si>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</si>
  <si>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</si>
  <si>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</si>
  <si>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</si>
  <si>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</si>
  <si>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</si>
  <si>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</si>
  <si>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</si>
  <si>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</si>
  <si>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</si>
  <si>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</si>
  <si>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</si>
  <si>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</si>
  <si>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</si>
  <si>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</si>
  <si>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</si>
  <si>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</si>
  <si>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</si>
  <si>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</si>
  <si>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</si>
  <si>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</si>
  <si>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</si>
  <si>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</si>
  <si>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</si>
  <si>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</si>
  <si>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</si>
  <si>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</si>
  <si>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</si>
  <si>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</si>
  <si>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</si>
  <si>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</si>
  <si>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</si>
  <si>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</si>
  <si>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</si>
  <si>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</si>
  <si>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</si>
  <si>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</si>
  <si>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</si>
  <si>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</si>
  <si>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</si>
  <si>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</si>
  <si>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</si>
  <si>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</si>
  <si>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</si>
  <si>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</si>
  <si>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</si>
  <si>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</si>
  <si>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</si>
  <si>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</si>
  <si>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</si>
  <si>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</si>
  <si>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</si>
  <si>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</si>
  <si>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</si>
  <si>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</si>
  <si>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</si>
  <si>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</si>
  <si>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</si>
  <si>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</si>
  <si>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</si>
  <si>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</si>
  <si>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</si>
  <si>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</si>
  <si>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</si>
  <si>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</si>
  <si>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</si>
  <si>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</si>
  <si>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</si>
  <si>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</si>
  <si>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</si>
  <si>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</si>
  <si>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</si>
  <si>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</si>
  <si>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</si>
  <si>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</si>
  <si>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</si>
  <si>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</si>
  <si>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</si>
  <si>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</si>
  <si>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</si>
  <si>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</si>
  <si>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</si>
  <si>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</si>
  <si>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</si>
  <si>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</si>
  <si>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</si>
  <si>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</si>
  <si>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</si>
  <si>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</si>
  <si>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</si>
  <si>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</si>
  <si>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</si>
  <si>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</si>
  <si>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</si>
  <si>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</si>
  <si>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</si>
  <si>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</si>
  <si>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</si>
  <si>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</si>
  <si>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</si>
  <si>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</si>
  <si>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</si>
  <si>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</si>
  <si>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</si>
  <si>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</si>
  <si>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</si>
  <si>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</si>
  <si>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</si>
  <si>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</si>
  <si>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</si>
  <si>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</si>
  <si>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</si>
  <si>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</si>
  <si>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</si>
  <si>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</si>
  <si>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</si>
  <si>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</si>
  <si>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</si>
  <si>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</si>
  <si>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</si>
  <si>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</si>
  <si>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</si>
  <si>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</si>
  <si>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</si>
  <si>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</si>
  <si>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</si>
  <si>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</si>
  <si>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</si>
  <si>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</si>
  <si>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</si>
  <si>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</si>
  <si>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</si>
  <si>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</si>
  <si>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</si>
  <si>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</si>
  <si>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</si>
  <si>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</si>
  <si>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</si>
  <si>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</si>
  <si>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</si>
  <si>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</si>
  <si>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</si>
  <si>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</si>
  <si>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</si>
  <si>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</si>
  <si>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</si>
  <si>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</si>
  <si>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</si>
  <si>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</si>
  <si>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</si>
  <si>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</si>
  <si>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</si>
  <si>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</si>
  <si>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</si>
  <si>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</si>
  <si>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</si>
  <si>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</si>
  <si>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</si>
  <si>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</si>
  <si>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</si>
  <si>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</si>
  <si>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</si>
  <si>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</si>
  <si>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</si>
  <si>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</si>
  <si>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</si>
  <si>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</si>
  <si>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</si>
  <si>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</si>
  <si>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</si>
  <si>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</si>
  <si>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</si>
  <si>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</si>
  <si>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</si>
  <si>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</si>
  <si>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</si>
  <si>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</si>
  <si>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</si>
  <si>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</si>
  <si>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</si>
  <si>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</si>
  <si>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</si>
  <si>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</si>
  <si>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</si>
  <si>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</si>
  <si>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</si>
  <si>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</si>
  <si>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</si>
  <si>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</si>
  <si>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</si>
  <si>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</si>
  <si>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</si>
  <si>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</si>
  <si>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</si>
  <si>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</si>
  <si>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</si>
  <si>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</si>
  <si>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</si>
  <si>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</si>
  <si>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</si>
  <si>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</si>
  <si>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</si>
  <si>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</si>
  <si>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</si>
  <si>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</si>
  <si>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</si>
  <si>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</si>
  <si>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</si>
  <si>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</si>
  <si>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</si>
  <si>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</si>
  <si>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</si>
  <si>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</si>
  <si>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</si>
  <si>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</si>
  <si>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</si>
  <si>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</si>
  <si>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</si>
  <si>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</si>
  <si>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</si>
  <si>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</si>
  <si>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</si>
  <si>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</si>
  <si>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</si>
  <si>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</si>
  <si>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</si>
  <si>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</si>
  <si>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</si>
  <si>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</si>
  <si>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</si>
  <si>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</si>
  <si>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</si>
  <si>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</si>
  <si>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</si>
  <si>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</si>
  <si>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</si>
  <si>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</si>
  <si>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</si>
  <si>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</si>
  <si>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</si>
  <si>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</si>
  <si>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</si>
  <si>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</si>
  <si>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</si>
  <si>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</si>
  <si>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</si>
  <si>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</si>
  <si>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</si>
  <si>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</si>
  <si>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</si>
  <si>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</si>
  <si>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</si>
  <si>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</si>
  <si>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</si>
  <si>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</si>
  <si>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</si>
  <si>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</si>
  <si>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</si>
  <si>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</si>
  <si>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</si>
  <si>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</si>
  <si>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</si>
  <si>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</si>
  <si>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</si>
  <si>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</si>
  <si>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</si>
  <si>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</si>
  <si>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</si>
  <si>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</si>
  <si>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</si>
  <si>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</si>
  <si>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</si>
  <si>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</si>
  <si>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</si>
  <si>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</si>
  <si>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</si>
  <si>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</si>
  <si>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</si>
  <si>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</si>
  <si>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</si>
  <si>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</si>
  <si>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</si>
  <si>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</si>
  <si>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</si>
  <si>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</si>
  <si>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</si>
  <si>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</si>
  <si>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</si>
  <si>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</si>
  <si>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</si>
  <si>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</si>
  <si>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</si>
  <si>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</si>
  <si>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</si>
  <si>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</si>
  <si>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</si>
  <si>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</si>
  <si>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</si>
  <si>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</si>
  <si>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</si>
  <si>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</si>
  <si>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</si>
  <si>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</si>
  <si>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</si>
  <si>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</si>
  <si>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</si>
  <si>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</si>
  <si>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</si>
  <si>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</si>
  <si>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</si>
  <si>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</si>
  <si>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</si>
  <si>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</si>
  <si>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</si>
  <si>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</si>
  <si>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</si>
  <si>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</si>
  <si>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</si>
  <si>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</si>
  <si>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</si>
  <si>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</si>
  <si>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</si>
  <si>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</si>
  <si>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</si>
  <si>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</si>
  <si>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</si>
  <si>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</si>
  <si>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</si>
  <si>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</si>
  <si>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</si>
  <si>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</si>
  <si>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</si>
  <si>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</si>
  <si>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</si>
  <si>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</si>
  <si>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</si>
  <si>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</si>
  <si>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</si>
  <si>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</si>
  <si>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</si>
  <si>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</si>
  <si>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</si>
  <si>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</si>
  <si>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</si>
  <si>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</si>
  <si>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</si>
  <si>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</si>
  <si>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</si>
  <si>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</si>
  <si>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</si>
  <si>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</si>
  <si>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</si>
  <si>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</si>
  <si>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</si>
  <si>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</si>
  <si>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</si>
  <si>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</si>
  <si>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</si>
  <si>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</si>
  <si>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</si>
  <si>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</si>
  <si>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</si>
  <si>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</si>
  <si>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</si>
  <si>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</si>
  <si>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</si>
  <si>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</si>
  <si>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</si>
  <si>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</si>
  <si>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</si>
  <si>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</si>
  <si>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</si>
  <si>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</si>
  <si>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</si>
  <si>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</si>
  <si>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</si>
  <si>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</si>
  <si>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</si>
  <si>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</si>
  <si>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</si>
  <si>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</si>
  <si>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</si>
  <si>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</si>
  <si>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</si>
  <si>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</si>
  <si>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</si>
  <si>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</si>
  <si>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</si>
  <si>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</si>
  <si>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</si>
  <si>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</si>
  <si>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</si>
  <si>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</si>
  <si>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</si>
  <si>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</si>
  <si>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</si>
  <si>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</si>
  <si>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</si>
  <si>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</si>
  <si>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</si>
  <si>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</si>
  <si>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</si>
  <si>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</si>
  <si>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</si>
  <si>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</si>
  <si>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</si>
  <si>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</si>
  <si>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</si>
  <si>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</si>
  <si>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</si>
  <si>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</si>
  <si>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</si>
  <si>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</si>
  <si>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</si>
  <si>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</si>
  <si>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</si>
  <si>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</si>
  <si>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</si>
  <si>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</si>
  <si>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</si>
  <si>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</si>
  <si>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</si>
  <si>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</si>
  <si>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</si>
  <si>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</si>
  <si>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</si>
  <si>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</si>
  <si>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</si>
  <si>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</si>
  <si>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</si>
  <si>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</si>
  <si>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</si>
  <si>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</si>
  <si>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</si>
  <si>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</si>
  <si>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</si>
  <si>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</si>
  <si>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</si>
  <si>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</si>
  <si>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</si>
  <si>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</si>
  <si>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</si>
  <si>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</si>
  <si>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</si>
  <si>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</si>
  <si>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</si>
  <si>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</si>
  <si>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</si>
  <si>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</si>
  <si>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</si>
  <si>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</si>
  <si>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</si>
  <si>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</si>
  <si>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</si>
  <si>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</si>
  <si>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</si>
  <si>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</si>
  <si>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</si>
  <si>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</si>
  <si>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</si>
  <si>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</si>
  <si>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</si>
  <si>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</si>
  <si>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</si>
  <si>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</si>
  <si>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</si>
  <si>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</si>
  <si>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</si>
  <si>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</si>
  <si>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</si>
  <si>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</si>
  <si>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</si>
  <si>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</si>
  <si>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</si>
  <si>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</si>
  <si>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</si>
  <si>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</si>
  <si>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</si>
  <si>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</si>
  <si>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</si>
  <si>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</si>
  <si>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</si>
  <si>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</si>
  <si>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</si>
  <si>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</si>
  <si>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</si>
  <si>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</si>
  <si>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</si>
  <si>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</si>
  <si>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</si>
  <si>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</si>
  <si>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</si>
  <si>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</si>
  <si>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</si>
  <si>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</si>
  <si>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</si>
  <si>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</si>
  <si>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</si>
  <si>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</si>
  <si>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</si>
  <si>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</si>
  <si>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</si>
  <si>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</si>
  <si>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</si>
  <si>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</si>
  <si>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</si>
  <si>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</si>
  <si>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</si>
  <si>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</si>
  <si>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</si>
  <si>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</si>
  <si>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</si>
  <si>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</si>
  <si>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</si>
  <si>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</si>
  <si>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</si>
  <si>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</si>
  <si>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</si>
  <si>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</si>
  <si>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</si>
  <si>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</si>
  <si>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</si>
  <si>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</si>
  <si>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</si>
  <si>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</si>
  <si>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</si>
  <si>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</si>
  <si>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</si>
  <si>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</si>
  <si>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</si>
  <si>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</si>
  <si>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</si>
  <si>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</si>
  <si>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</si>
  <si>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</si>
  <si>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</si>
  <si>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</si>
  <si>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</si>
  <si>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</si>
  <si>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</si>
  <si>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</si>
  <si>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</si>
  <si>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</si>
  <si>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</si>
  <si>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</si>
  <si>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</si>
  <si>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</si>
  <si>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</si>
  <si>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</si>
  <si>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</si>
  <si>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</si>
  <si>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</si>
  <si>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</si>
  <si>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</si>
  <si>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</si>
  <si>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</si>
  <si>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</si>
  <si>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</si>
  <si>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</si>
  <si>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</si>
  <si>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</si>
  <si>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</si>
  <si>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</si>
  <si>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</si>
  <si>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</si>
  <si>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</si>
  <si>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</si>
  <si>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</si>
  <si>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</si>
  <si>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</si>
  <si>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</si>
  <si>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</si>
  <si>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</si>
  <si>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</si>
  <si>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</si>
  <si>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</si>
  <si>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</si>
  <si>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</si>
  <si>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</si>
  <si>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</si>
  <si>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</si>
  <si>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</si>
  <si>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</si>
  <si>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</si>
  <si>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</si>
  <si>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</si>
  <si>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</si>
  <si>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</si>
  <si>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</si>
  <si>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</si>
  <si>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</si>
  <si>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</si>
  <si>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</si>
  <si>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</si>
  <si>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</si>
  <si>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</si>
  <si>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</si>
  <si>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</si>
  <si>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</si>
  <si>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</si>
  <si>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</si>
  <si>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</si>
  <si>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</si>
  <si>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</si>
  <si>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</si>
  <si>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</si>
  <si>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</si>
  <si>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</si>
  <si>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</si>
  <si>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</si>
  <si>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</si>
  <si>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</si>
  <si>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</si>
  <si>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</si>
  <si>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</si>
  <si>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</si>
  <si>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</si>
  <si>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</si>
  <si>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</si>
  <si>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</si>
  <si>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</si>
  <si>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</si>
  <si>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</si>
  <si>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</si>
  <si>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</si>
  <si>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</si>
  <si>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</si>
  <si>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</si>
  <si>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</si>
  <si>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</si>
  <si>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</si>
  <si>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</si>
  <si>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</si>
  <si>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</si>
  <si>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</si>
  <si>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</si>
  <si>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</si>
  <si>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</si>
  <si>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</si>
  <si>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</si>
  <si>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</si>
  <si>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</si>
  <si>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</si>
  <si>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</si>
  <si>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</si>
  <si>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</si>
  <si>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</si>
  <si>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</si>
  <si>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</si>
  <si>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</si>
  <si>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</si>
  <si>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</si>
  <si>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</si>
  <si>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</si>
  <si>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</si>
  <si>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</si>
  <si>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</si>
  <si>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</si>
  <si>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</si>
  <si>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</si>
  <si>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</si>
  <si>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</si>
  <si>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</si>
  <si>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</si>
  <si>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</si>
  <si>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</si>
  <si>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</si>
  <si>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</si>
  <si>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</si>
  <si>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</si>
  <si>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</si>
  <si>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</si>
  <si>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</si>
  <si>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</si>
  <si>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</si>
  <si>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</si>
  <si>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</si>
  <si>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</si>
  <si>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</si>
  <si>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</si>
  <si>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</si>
  <si>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</si>
  <si>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</si>
  <si>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</si>
  <si>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</si>
  <si>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</si>
  <si>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</si>
  <si>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</si>
  <si>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</si>
  <si>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</si>
  <si>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</si>
  <si>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</si>
  <si>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</si>
  <si>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</si>
  <si>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</si>
  <si>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</si>
  <si>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</si>
  <si>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</si>
  <si>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</si>
  <si>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</si>
  <si>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</si>
  <si>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</si>
  <si>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</si>
  <si>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</si>
  <si>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</si>
  <si>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</si>
  <si>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</si>
  <si>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</si>
  <si>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</si>
  <si>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</si>
  <si>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</si>
  <si>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</si>
  <si>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</si>
  <si>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</si>
  <si>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</si>
  <si>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</si>
  <si>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</si>
  <si>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</si>
  <si>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</si>
  <si>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</si>
  <si>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</si>
  <si>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</si>
  <si>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</si>
  <si>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</si>
  <si>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</si>
  <si>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</si>
  <si>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</si>
  <si>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</si>
  <si>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</si>
  <si>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</si>
  <si>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</si>
  <si>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</si>
  <si>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</si>
  <si>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</si>
  <si>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</si>
  <si>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</si>
  <si>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</si>
  <si>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</si>
  <si>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</si>
  <si>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</si>
  <si>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</si>
  <si>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</si>
  <si>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</si>
  <si>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</si>
  <si>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</si>
  <si>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</si>
  <si>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</si>
  <si>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</si>
  <si>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</si>
  <si>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</si>
  <si>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</si>
  <si>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</si>
  <si>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</si>
  <si>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</si>
  <si>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</si>
  <si>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</si>
  <si>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</si>
  <si>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</si>
  <si>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</si>
  <si>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</si>
  <si>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</si>
  <si>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</si>
  <si>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</si>
  <si>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</si>
  <si>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</si>
  <si>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</si>
  <si>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</si>
  <si>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</si>
  <si>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</si>
  <si>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</si>
  <si>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</si>
  <si>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</si>
  <si>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</si>
  <si>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</si>
  <si>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</si>
  <si>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</si>
  <si>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</si>
  <si>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</si>
  <si>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</si>
  <si>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</si>
  <si>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</si>
  <si>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</si>
  <si>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</si>
  <si>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</si>
  <si>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</si>
  <si>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</si>
  <si>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</si>
  <si>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</si>
  <si>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</si>
  <si>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</si>
  <si>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</si>
  <si>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</si>
  <si>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</si>
  <si>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</si>
  <si>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</si>
  <si>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</si>
  <si>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</si>
  <si>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</si>
  <si>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</si>
  <si>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</si>
  <si>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</si>
  <si>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</si>
  <si>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</si>
  <si>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</si>
  <si>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</si>
  <si>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</si>
  <si>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</si>
  <si>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</si>
  <si>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</si>
  <si>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</si>
  <si>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</si>
  <si>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</si>
  <si>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</si>
  <si>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</si>
  <si>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</si>
  <si>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</si>
  <si>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</si>
  <si>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</si>
  <si>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</si>
  <si>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</si>
  <si>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</si>
  <si>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</si>
  <si>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</si>
  <si>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</si>
  <si>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</si>
  <si>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</si>
  <si>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</si>
  <si>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</si>
  <si>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</si>
  <si>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</si>
  <si>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</si>
  <si>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</si>
  <si>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</si>
  <si>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</si>
  <si>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</si>
  <si>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</si>
  <si>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</si>
  <si>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</si>
  <si>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</si>
  <si>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</si>
  <si>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</si>
  <si>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</si>
  <si>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</si>
  <si>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</si>
  <si>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</si>
  <si>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</si>
  <si>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</si>
  <si>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</si>
  <si>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商业</t>
  </si>
  <si>
    <t>出让</t>
  </si>
  <si>
    <t>金水区普庆路西、三全路南</t>
    <phoneticPr fontId="6" type="noConversion"/>
  </si>
  <si>
    <t>其他：</t>
  </si>
  <si>
    <t>河南省郑州市</t>
    <phoneticPr fontId="6" type="noConversion"/>
  </si>
  <si>
    <t>抵押价格</t>
  </si>
  <si>
    <t>抵押</t>
  </si>
  <si>
    <t>商场</t>
  </si>
  <si>
    <t>商务建筑</t>
  </si>
  <si>
    <t>地上</t>
  </si>
  <si>
    <t>底商</t>
  </si>
  <si>
    <t>物业用房</t>
  </si>
  <si>
    <t>设备用房</t>
  </si>
  <si>
    <t>仓储</t>
  </si>
  <si>
    <t>附属用房</t>
  </si>
  <si>
    <t>非机动车</t>
  </si>
  <si>
    <t>否</t>
  </si>
  <si>
    <t>不动产收益法（商业）</t>
  </si>
  <si>
    <t>不动产收益法（商业）</t>
    <phoneticPr fontId="14" type="noConversion"/>
  </si>
  <si>
    <t>土地（套用方法）</t>
  </si>
  <si>
    <t>钢混</t>
  </si>
  <si>
    <t>按租金收入计税</t>
  </si>
  <si>
    <t>郑政出[2017]2号（网）</t>
  </si>
  <si>
    <t>郑政出（2016）249号</t>
  </si>
  <si>
    <t>郑政出[2016]57号（网）</t>
  </si>
  <si>
    <t>二七区 新兴路南、假日东路西</t>
  </si>
  <si>
    <t>惠济区北环路南、丰华路西</t>
  </si>
  <si>
    <t>金水区电南路南、花园路东</t>
  </si>
  <si>
    <t>楼面地价</t>
  </si>
  <si>
    <t>商业</t>
    <phoneticPr fontId="26" type="noConversion"/>
  </si>
  <si>
    <t>一般</t>
  </si>
  <si>
    <t>好</t>
  </si>
  <si>
    <t>较好</t>
  </si>
  <si>
    <t>七通</t>
  </si>
  <si>
    <t>快速路</t>
  </si>
  <si>
    <t>主干道</t>
  </si>
  <si>
    <t>次干道</t>
  </si>
  <si>
    <t>支路</t>
  </si>
  <si>
    <t>双面临街</t>
  </si>
  <si>
    <t>单面临街</t>
  </si>
  <si>
    <t>较规则</t>
  </si>
  <si>
    <t>较规则</t>
    <phoneticPr fontId="26" type="noConversion"/>
  </si>
  <si>
    <t>较适宜</t>
  </si>
  <si>
    <t>较适宜</t>
    <phoneticPr fontId="26" type="noConversion"/>
  </si>
  <si>
    <t>七通一平</t>
  </si>
  <si>
    <t>六通一平</t>
  </si>
  <si>
    <t>五通一平</t>
  </si>
  <si>
    <t>四通一平</t>
  </si>
  <si>
    <t>三通一平</t>
  </si>
  <si>
    <t>较好</t>
    <phoneticPr fontId="26" type="noConversion"/>
  </si>
  <si>
    <t>中档</t>
  </si>
  <si>
    <t>普通装修</t>
  </si>
  <si>
    <t>专业</t>
  </si>
  <si>
    <t>loft</t>
  </si>
  <si>
    <t>毛坯</t>
  </si>
  <si>
    <t>平层</t>
  </si>
  <si>
    <t>loft</t>
    <phoneticPr fontId="3" type="noConversion"/>
  </si>
  <si>
    <t>平层</t>
    <phoneticPr fontId="3" type="noConversion"/>
  </si>
  <si>
    <t>售价</t>
  </si>
  <si>
    <t>比较法-住宅、综合</t>
  </si>
  <si>
    <t>剩余法-待开发</t>
  </si>
  <si>
    <t>名门翠园</t>
    <phoneticPr fontId="21" type="noConversion"/>
  </si>
  <si>
    <t>项目全部</t>
  </si>
  <si>
    <t>土地</t>
  </si>
  <si>
    <t>正常</t>
  </si>
  <si>
    <t>非个人房产</t>
  </si>
  <si>
    <t>社区底商</t>
  </si>
  <si>
    <t>社区底商</t>
    <phoneticPr fontId="7" type="noConversion"/>
  </si>
  <si>
    <t>平层公寓</t>
  </si>
  <si>
    <t>平层公寓</t>
    <phoneticPr fontId="7" type="noConversion"/>
  </si>
  <si>
    <t>loft公寓</t>
  </si>
  <si>
    <t>loft公寓</t>
    <phoneticPr fontId="7" type="noConversion"/>
  </si>
  <si>
    <t>郑州</t>
  </si>
  <si>
    <t>省会市名称</t>
  </si>
  <si>
    <t>建筑型式</t>
  </si>
  <si>
    <t>多层</t>
  </si>
  <si>
    <t>小高层</t>
  </si>
  <si>
    <t>高层</t>
  </si>
  <si>
    <t>海亮时代one</t>
    <phoneticPr fontId="21" type="noConversion"/>
  </si>
  <si>
    <t>平层公寓</t>
    <phoneticPr fontId="14" type="noConversion"/>
  </si>
  <si>
    <r>
      <t>loft</t>
    </r>
    <r>
      <rPr>
        <sz val="11"/>
        <color theme="1"/>
        <rFont val="宋体"/>
        <family val="3"/>
        <charset val="134"/>
      </rPr>
      <t>公寓</t>
    </r>
    <phoneticPr fontId="14" type="noConversion"/>
  </si>
  <si>
    <t>和昌珑悦</t>
    <phoneticPr fontId="21" type="noConversion"/>
  </si>
  <si>
    <t>六通</t>
  </si>
  <si>
    <t>六通</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</si>
  <si>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</si>
  <si>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</si>
  <si>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</si>
  <si>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</si>
  <si>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</si>
  <si>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平层公寓</t>
    <phoneticPr fontId="21" type="noConversion"/>
  </si>
  <si>
    <t>30-40（含）</t>
  </si>
  <si>
    <t>精装修</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</si>
</sst>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
      <name val="楷体_GB2312"/>
      <family val="3"/>
      <charset val="134"/>
    </font>
    <font>
      <sz val="9"/>
      <color theme="1"/>
      <name val="楷体_GB2312"/>
      <family val="3"/>
      <charset val="134"/>
    </font>
    <font>
      <sz val="9"/>
      <color theme="1"/>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alignment wrapText="1"/>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5" fillId="0" borderId="2" xfId="1" applyFont="1" applyBorder="1" applyAlignment="1" applyProtection="1">
      <alignment horizontal="center" vertical="center" wrapText="1"/>
      <protection locked="0"/>
    </xf>
    <xf numFmtId="0" fontId="274" fillId="0" borderId="2" xfId="0" applyFont="1" applyBorder="1" applyAlignment="1" applyProtection="1">
      <alignment horizontal="left" vertical="center" wrapText="1"/>
      <protection locked="0"/>
    </xf>
    <xf numFmtId="0" fontId="91" fillId="0" borderId="21" xfId="0"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176" fontId="274" fillId="0" borderId="2" xfId="0" applyNumberFormat="1" applyFont="1" applyBorder="1" applyAlignment="1" applyProtection="1">
      <alignment vertical="center" wrapText="1"/>
      <protection locked="0"/>
    </xf>
    <xf numFmtId="176" fontId="91" fillId="0" borderId="2" xfId="0" applyNumberFormat="1" applyFont="1" applyBorder="1" applyAlignment="1" applyProtection="1">
      <alignment vertical="center" wrapText="1"/>
      <protection locked="0"/>
    </xf>
    <xf numFmtId="176" fontId="274" fillId="0" borderId="2" xfId="0" applyNumberFormat="1" applyFont="1" applyBorder="1" applyAlignment="1" applyProtection="1">
      <alignment horizontal="center" vertical="center" wrapText="1"/>
      <protection locked="0"/>
    </xf>
    <xf numFmtId="0" fontId="276" fillId="0" borderId="2" xfId="0" applyFont="1" applyBorder="1" applyAlignment="1" applyProtection="1">
      <alignment horizontal="center" vertical="center"/>
      <protection locked="0"/>
    </xf>
    <xf numFmtId="176" fontId="91" fillId="0" borderId="2" xfId="0" applyNumberFormat="1" applyFont="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3" fontId="71" fillId="9" borderId="33" xfId="0" applyNumberFormat="1" applyFont="1" applyFill="1" applyBorder="1" applyAlignment="1" applyProtection="1">
      <alignment horizontal="center" vertical="center" wrapText="1"/>
      <protection locked="0"/>
    </xf>
    <xf numFmtId="31" fontId="101" fillId="9" borderId="0" xfId="0" applyNumberFormat="1" applyFont="1" applyFill="1" applyBorder="1" applyAlignment="1" applyProtection="1">
      <alignment vertical="center"/>
      <protection locked="0"/>
    </xf>
    <xf numFmtId="0" fontId="82" fillId="0" borderId="155" xfId="16" applyFont="1" applyFill="1" applyBorder="1" applyAlignment="1">
      <alignment vertical="top" wrapText="1"/>
    </xf>
    <xf numFmtId="0" fontId="82" fillId="0" borderId="155" xfId="16" applyNumberFormat="1" applyFont="1" applyFill="1" applyBorder="1" applyAlignment="1">
      <alignment horizontal="center" vertical="top" wrapText="1"/>
    </xf>
    <xf numFmtId="0" fontId="134" fillId="0" borderId="154" xfId="16" applyFont="1" applyFill="1" applyBorder="1" applyAlignment="1">
      <alignment horizontal="center" vertical="top" wrapText="1"/>
    </xf>
    <xf numFmtId="0" fontId="134" fillId="0" borderId="155" xfId="16" applyFont="1" applyFill="1" applyBorder="1" applyAlignment="1">
      <alignment horizontal="center" vertical="top" wrapText="1"/>
    </xf>
    <xf numFmtId="0" fontId="134" fillId="0" borderId="156" xfId="16" applyFont="1" applyFill="1" applyBorder="1" applyAlignment="1">
      <alignment horizontal="center" vertical="top" wrapText="1"/>
    </xf>
    <xf numFmtId="0" fontId="106" fillId="17"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6"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7"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132134</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33334" cy="7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22);"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2656</v>
      </c>
      <c r="B1" s="2870" t="s">
        <v>2753</v>
      </c>
    </row>
    <row r="2" spans="1:55" s="2874" customFormat="1" ht="15" thickTop="1">
      <c r="A2" s="2872" t="s">
        <v>2660</v>
      </c>
      <c r="B2" s="2873" t="str">
        <f>'预评函-封皮'!B37</f>
        <v>河南省郑州市金水区普庆路西、三全路南出让国有建设用地使用权抵押价格预评估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王鹏、郑燚</v>
      </c>
      <c r="N4" s="2858" t="str">
        <f>'预评函-1'!A28</f>
        <v/>
      </c>
    </row>
    <row r="5" spans="1:55" s="2871" customFormat="1" ht="15" thickBot="1">
      <c r="A5" s="2878" t="s">
        <v>2663</v>
      </c>
      <c r="B5" s="2879" t="str">
        <f>'预评函-封皮'!B49</f>
        <v>康正预评字号</v>
      </c>
    </row>
    <row r="6" spans="1:55" s="2880" customFormat="1" ht="15" thickTop="1">
      <c r="A6" s="2872" t="s">
        <v>2705</v>
      </c>
      <c r="B6" s="2873" t="str">
        <f>'预评函-1'!A4</f>
        <v>受贵公司委托，我公司对河南省郑州市金水区普庆路西、三全路南出让国有建设用地使用权抵押价格进行了预评估。</v>
      </c>
      <c r="AM6" s="2881"/>
    </row>
    <row r="7" spans="1:55" s="2855" customFormat="1">
      <c r="A7" s="2856" t="s">
        <v>2657</v>
      </c>
      <c r="B7" s="2857"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2019年4月9日（评估专业人员勘察现场之日）</v>
      </c>
    </row>
    <row r="11" spans="1:55" s="2855" customFormat="1">
      <c r="A11" s="2856" t="s">
        <v>2665</v>
      </c>
      <c r="B11" s="2857" t="str">
        <f>'预评函-1'!A14</f>
        <v>根据《国有土地使用证》[]，本次评估估价对象证载（地类）用途为。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根据《国有土地使用证》[]，估价对象（分摊）出让国有建设用地使用权面积为35517.65平方米。根据《建设工程规划许可证》[]、《出让合同》[]，估价对象规划建筑面积为183164平方米。</v>
      </c>
    </row>
    <row r="16" spans="1:55" s="2855" customFormat="1">
      <c r="A16" s="2856" t="s">
        <v>2669</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2674</v>
      </c>
      <c r="B21" s="2879" t="str">
        <f>'预评函-1'!A28</f>
        <v/>
      </c>
    </row>
    <row r="22" spans="1:48" ht="15"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估价期日：2019年4月9日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35517.65</v>
      </c>
    </row>
    <row r="44" spans="1:2">
      <c r="A44" s="2856" t="s">
        <v>2740</v>
      </c>
      <c r="B44" s="2857" t="str">
        <f>'预评函-2'!O3</f>
        <v>规划建筑面积/㎡</v>
      </c>
    </row>
    <row r="45" spans="1:2">
      <c r="A45" s="2856" t="s">
        <v>2722</v>
      </c>
      <c r="B45" s="2857">
        <f>'预评函-2'!O5</f>
        <v>183164</v>
      </c>
    </row>
    <row r="46" spans="1:2">
      <c r="A46" s="2856" t="s">
        <v>2723</v>
      </c>
      <c r="B46" s="2857">
        <f ca="1">'预评函-2'!P5</f>
        <v>23790</v>
      </c>
    </row>
    <row r="47" spans="1:2">
      <c r="A47" s="2856" t="s">
        <v>2724</v>
      </c>
      <c r="B47" s="2857">
        <f ca="1">'预评函-2'!Q5</f>
        <v>4613</v>
      </c>
    </row>
    <row r="48" spans="1:2">
      <c r="A48" s="2856" t="s">
        <v>2725</v>
      </c>
      <c r="B48" s="2857">
        <f ca="1">'预评函-2'!R5</f>
        <v>84498</v>
      </c>
    </row>
    <row r="49" spans="1:2">
      <c r="A49" s="2856" t="s">
        <v>2741</v>
      </c>
      <c r="B49" s="2857" t="str">
        <f>'预评函-2'!A6</f>
        <v>抵押价格</v>
      </c>
    </row>
    <row r="50" spans="1:2">
      <c r="A50" s="2856" t="s">
        <v>2726</v>
      </c>
      <c r="B50" s="2857">
        <f ca="1">'预评函-2'!R6</f>
        <v>84498</v>
      </c>
    </row>
    <row r="51" spans="1:2">
      <c r="A51" s="2856" t="s">
        <v>2742</v>
      </c>
      <c r="B51" s="2857" t="str">
        <f>'预评函-2'!A7</f>
        <v>——</v>
      </c>
    </row>
    <row r="52" spans="1:2">
      <c r="A52" s="2856" t="s">
        <v>2727</v>
      </c>
      <c r="B52" s="2857" t="str">
        <f>'预评函-2'!R7</f>
        <v>——</v>
      </c>
    </row>
    <row r="53" spans="1:2">
      <c r="A53" s="2856" t="s">
        <v>2743</v>
      </c>
      <c r="B53" s="2857" t="str">
        <f>'预评函-2'!A8</f>
        <v>——</v>
      </c>
    </row>
    <row r="54" spans="1:2" s="2871" customFormat="1" ht="15" thickBot="1">
      <c r="A54" s="2878" t="s">
        <v>2728</v>
      </c>
      <c r="B54" s="2879" t="str">
        <f>'预评函-2'!R8</f>
        <v>——</v>
      </c>
    </row>
    <row r="55" spans="1:2" ht="15"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3.估价规划限制条件：详见《建设工程规划许可证》[]、《出让合同》[]。</v>
      </c>
    </row>
    <row r="58" spans="1:2" s="2871" customFormat="1" ht="15" thickBot="1">
      <c r="A58" s="2878" t="s">
        <v>2729</v>
      </c>
      <c r="B58" s="2879" t="str">
        <f>'预评函-3'!A5</f>
        <v>4.影响价格的其他限定条件：无。</v>
      </c>
    </row>
    <row r="59" spans="1:2" ht="15"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2692</v>
      </c>
      <c r="B68" s="2882">
        <f>'预评函-3'!D30</f>
        <v>42558</v>
      </c>
    </row>
    <row r="69" spans="1:2" ht="15" thickTop="1">
      <c r="A69" s="2867" t="s">
        <v>2690</v>
      </c>
      <c r="B69" s="2868" t="str">
        <f>'预评函-3'!A20</f>
        <v>王鹏</v>
      </c>
    </row>
    <row r="70" spans="1:2">
      <c r="A70" s="2856" t="s">
        <v>2690</v>
      </c>
      <c r="B70" s="2863">
        <f ca="1">'预评函-3'!B20</f>
        <v>2002110030</v>
      </c>
    </row>
    <row r="71" spans="1:2">
      <c r="A71" s="2856" t="s">
        <v>2691</v>
      </c>
      <c r="B71" s="2857" t="str">
        <f>'预评函-3'!A21</f>
        <v>郑燚</v>
      </c>
    </row>
    <row r="72" spans="1:2" s="2871" customFormat="1" ht="15" thickBot="1">
      <c r="A72" s="2878" t="s">
        <v>2691</v>
      </c>
      <c r="B72" s="2884">
        <f ca="1">'预评函-3'!B21</f>
        <v>2014110011</v>
      </c>
    </row>
    <row r="73" spans="1:2" ht="15"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1" t="str">
        <f>IF(B10="北京市","北京市",C10)&amp;F10&amp;B16&amp;"国有建设用地使用权"&amp;B9&amp;"预评估"</f>
        <v>河南省郑州市金水区普庆路西、三全路南出让国有建设用地使用权抵押价格预评估</v>
      </c>
      <c r="C1" s="3242"/>
      <c r="D1" s="3242"/>
      <c r="E1" s="3242"/>
      <c r="F1" s="3242"/>
      <c r="G1" s="3242"/>
      <c r="H1" s="3242"/>
      <c r="I1" s="3243"/>
      <c r="J1" s="1693"/>
      <c r="K1" s="2434" t="str">
        <f>IF(B10="北京市","北京市",C10)&amp;F10&amp;B16&amp;"国有建设用地使用权"&amp;B9</f>
        <v>河南省郑州市金水区普庆路西、三全路南出让国有建设用地使用权抵押价格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河南省郑州市金水区普庆路西、三全路南出让国有建设用地使用权</v>
      </c>
      <c r="L2" s="1722"/>
      <c r="M2" s="1722"/>
      <c r="N2" s="1693"/>
      <c r="O2" s="1694"/>
      <c r="P2" s="1693"/>
      <c r="Q2" s="1693"/>
      <c r="R2" s="1693"/>
      <c r="S2" s="1693"/>
      <c r="T2" s="1693"/>
      <c r="U2" s="1693"/>
    </row>
    <row r="3" spans="1:21">
      <c r="A3" s="1660" t="s">
        <v>1940</v>
      </c>
      <c r="B3" s="1661">
        <v>43564</v>
      </c>
      <c r="C3" s="1662" t="s">
        <v>1996</v>
      </c>
      <c r="D3" s="1661">
        <f>B3</f>
        <v>43564</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2993</v>
      </c>
      <c r="C4" s="1845">
        <f ca="1">SUMIF(土地估价师,B4,估价师及机构信息!E3:E24)</f>
        <v>2002110030</v>
      </c>
      <c r="D4" s="1842" t="s">
        <v>2994</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28"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3001</v>
      </c>
      <c r="C8" s="1670"/>
      <c r="D8" s="3247" t="s">
        <v>1945</v>
      </c>
      <c r="E8" s="1843" t="s">
        <v>3000</v>
      </c>
      <c r="F8" s="1671"/>
      <c r="G8" s="1659"/>
      <c r="H8" s="1659"/>
      <c r="I8" s="1706"/>
      <c r="J8" s="1693"/>
      <c r="K8" s="1773"/>
      <c r="L8" s="1722"/>
      <c r="M8" s="1722"/>
      <c r="N8" s="1693"/>
      <c r="O8" s="1694"/>
      <c r="P8" s="1693"/>
      <c r="Q8" s="1693"/>
      <c r="R8" s="1693"/>
      <c r="S8" s="1693"/>
      <c r="T8" s="1693"/>
      <c r="U8" s="1693"/>
    </row>
    <row r="9" spans="1:21" ht="15" thickBot="1">
      <c r="A9" s="1672" t="s">
        <v>1944</v>
      </c>
      <c r="B9" s="1673" t="s">
        <v>3000</v>
      </c>
      <c r="C9" s="1674"/>
      <c r="D9" s="3248"/>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3173" t="s">
        <v>2998</v>
      </c>
      <c r="C10" s="1675" t="s">
        <v>2999</v>
      </c>
      <c r="D10" s="1666"/>
      <c r="E10" s="1676" t="s">
        <v>1947</v>
      </c>
      <c r="F10" s="1677" t="s">
        <v>2997</v>
      </c>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4"/>
      <c r="C12" s="3245"/>
      <c r="D12" s="3246"/>
      <c r="E12" s="1698" t="s">
        <v>2062</v>
      </c>
      <c r="F12" s="3262" t="s">
        <v>2888</v>
      </c>
      <c r="G12" s="3263"/>
      <c r="H12" s="3263"/>
      <c r="I12" s="3264"/>
      <c r="J12" s="1693"/>
      <c r="K12" s="1773"/>
      <c r="L12" s="1722"/>
      <c r="M12" s="1722"/>
      <c r="N12" s="1693"/>
      <c r="O12" s="1694"/>
      <c r="P12" s="1693"/>
      <c r="Q12" s="1693"/>
      <c r="R12" s="1693"/>
      <c r="S12" s="1693"/>
      <c r="T12" s="1693"/>
      <c r="U12" s="1693"/>
    </row>
    <row r="13" spans="1:21">
      <c r="A13" s="1686" t="s">
        <v>2060</v>
      </c>
      <c r="B13" s="3244"/>
      <c r="C13" s="3245"/>
      <c r="D13" s="3246"/>
      <c r="E13" s="1698" t="s">
        <v>2062</v>
      </c>
      <c r="F13" s="3262" t="s">
        <v>2889</v>
      </c>
      <c r="G13" s="3263"/>
      <c r="H13" s="3263"/>
      <c r="I13" s="3264"/>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2996</v>
      </c>
      <c r="C16" s="1698" t="s">
        <v>1949</v>
      </c>
      <c r="D16" s="2625" t="s">
        <v>1950</v>
      </c>
      <c r="E16" s="1721" t="s">
        <v>2995</v>
      </c>
      <c r="F16" s="1721"/>
      <c r="G16" s="1721"/>
      <c r="H16" s="1721"/>
      <c r="I16" s="1685" t="s">
        <v>1955</v>
      </c>
      <c r="J16" s="1693"/>
      <c r="K16" s="2435" t="str">
        <f>IF(D17="","",D16&amp;TEXT(D17,"yyyy年m月d日;;"))</f>
        <v/>
      </c>
      <c r="L16" s="1698" t="str">
        <f>IF(OR(K16="",M16=""),"","、")</f>
        <v/>
      </c>
      <c r="M16" s="2435" t="str">
        <f>IF(E17="","",E16&amp;TEXT(E17,"yyyy年m月d日;;"))</f>
        <v>商业2052年2月12日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55561</v>
      </c>
      <c r="F17" s="1699"/>
      <c r="G17" s="1699"/>
      <c r="H17" s="1699"/>
      <c r="I17" s="1699"/>
      <c r="J17" s="1693"/>
      <c r="K17" s="2434" t="str">
        <f>CONCATENATE(K16,L16,M16,N16,O16,P16,Q16,R16,S16,T16,,U16)</f>
        <v>商业2052年2月12日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32.86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9"/>
      <c r="E20" s="3260"/>
      <c r="F20" s="3260"/>
      <c r="G20" s="3260"/>
      <c r="H20" s="3260"/>
      <c r="I20" s="3261"/>
      <c r="J20" s="1693"/>
      <c r="K20" s="1773"/>
      <c r="L20" s="1722"/>
      <c r="M20" s="1722"/>
      <c r="N20" s="1693"/>
      <c r="O20" s="1694"/>
      <c r="P20" s="1693"/>
      <c r="Q20" s="1693"/>
      <c r="R20" s="1693"/>
      <c r="S20" s="1693"/>
      <c r="T20" s="1693"/>
      <c r="U20" s="1693"/>
    </row>
    <row r="21" spans="1:21">
      <c r="A21" s="1762" t="s">
        <v>1959</v>
      </c>
      <c r="B21" s="1763" t="s">
        <v>1960</v>
      </c>
      <c r="C21" s="1758">
        <f>'数据-汇总表'!E3</f>
        <v>183164</v>
      </c>
      <c r="D21" s="1759" t="s">
        <v>1961</v>
      </c>
      <c r="E21" s="3249" t="s">
        <v>1999</v>
      </c>
      <c r="F21" s="3250"/>
      <c r="G21" s="3250"/>
      <c r="H21" s="3250"/>
      <c r="I21" s="3251"/>
      <c r="J21" s="1693"/>
      <c r="K21" s="1773"/>
      <c r="L21" s="1722"/>
      <c r="M21" s="1722"/>
      <c r="N21" s="1693"/>
      <c r="O21" s="1694"/>
      <c r="P21" s="1693"/>
      <c r="Q21" s="1693"/>
      <c r="R21" s="1693"/>
      <c r="S21" s="1693"/>
      <c r="T21" s="1693"/>
      <c r="U21" s="1693"/>
    </row>
    <row r="22" spans="1:21">
      <c r="A22" s="3118" t="s">
        <v>952</v>
      </c>
      <c r="B22" s="1660" t="s">
        <v>1962</v>
      </c>
      <c r="C22" s="1685">
        <f>'数据-汇总表'!D3</f>
        <v>35517.65</v>
      </c>
      <c r="D22" s="1686" t="s">
        <v>1961</v>
      </c>
      <c r="E22" s="3249" t="s">
        <v>2890</v>
      </c>
      <c r="F22" s="3250"/>
      <c r="G22" s="3250"/>
      <c r="H22" s="3250"/>
      <c r="I22" s="3251"/>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2" t="s">
        <v>1967</v>
      </c>
      <c r="C24" s="3253"/>
      <c r="D24" s="3254" t="s">
        <v>1968</v>
      </c>
      <c r="E24" s="3255"/>
      <c r="F24" s="1707" t="s">
        <v>1969</v>
      </c>
      <c r="G24" s="1693"/>
      <c r="H24" s="1693"/>
      <c r="I24" s="1706"/>
      <c r="J24" s="1693"/>
      <c r="K24" s="324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4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4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7" t="s">
        <v>2002</v>
      </c>
      <c r="B31" s="1763" t="s">
        <v>2003</v>
      </c>
      <c r="C31" s="3265"/>
      <c r="D31" s="3266"/>
      <c r="E31" s="1693"/>
      <c r="F31" s="1693"/>
      <c r="G31" s="1693"/>
      <c r="H31" s="1693"/>
      <c r="I31" s="1706"/>
      <c r="J31" s="1693"/>
      <c r="K31" s="2437"/>
      <c r="L31" s="1693"/>
      <c r="M31" s="1693"/>
      <c r="N31" s="1693"/>
      <c r="O31" s="1693"/>
      <c r="P31" s="1693"/>
      <c r="Q31" s="1693"/>
      <c r="R31" s="1693"/>
      <c r="S31" s="1693"/>
      <c r="T31" s="1693"/>
      <c r="U31" s="1693"/>
    </row>
    <row r="32" spans="1:21">
      <c r="A32" s="326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6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68"/>
      <c r="B34" s="1660" t="s">
        <v>2006</v>
      </c>
      <c r="C34" s="3269"/>
      <c r="D34" s="3270"/>
      <c r="E34" s="1693"/>
      <c r="F34" s="1693"/>
      <c r="G34" s="1693"/>
      <c r="H34" s="1693"/>
      <c r="I34" s="1706"/>
      <c r="J34" s="1693"/>
      <c r="K34" s="2437"/>
      <c r="L34" s="1693"/>
      <c r="M34" s="1693"/>
      <c r="N34" s="1693"/>
      <c r="O34" s="1693"/>
      <c r="P34" s="1693"/>
      <c r="Q34" s="1693"/>
      <c r="R34" s="1693"/>
      <c r="S34" s="1693"/>
      <c r="T34" s="1693"/>
      <c r="U34" s="1693"/>
    </row>
    <row r="35" spans="1:21">
      <c r="A35" s="3271" t="s">
        <v>847</v>
      </c>
      <c r="B35" s="1721"/>
      <c r="C35" s="1775" t="str">
        <f>IF(B35="场地平整","——","具体情况：")</f>
        <v>具体情况：</v>
      </c>
      <c r="D35" s="3273"/>
      <c r="E35" s="3274"/>
      <c r="F35" s="3274"/>
      <c r="G35" s="3274"/>
      <c r="H35" s="3274"/>
      <c r="I35" s="3275"/>
      <c r="J35" s="1693"/>
      <c r="K35" s="1774"/>
      <c r="L35" s="1722"/>
      <c r="M35" s="1722"/>
      <c r="N35" s="1693"/>
      <c r="O35" s="1694"/>
      <c r="P35" s="1693"/>
      <c r="Q35" s="1693"/>
      <c r="R35" s="1693"/>
      <c r="S35" s="1693"/>
      <c r="T35" s="1693"/>
      <c r="U35" s="1693"/>
    </row>
    <row r="36" spans="1:21">
      <c r="A36" s="3267"/>
      <c r="B36" s="3276" t="s">
        <v>2055</v>
      </c>
      <c r="C36" s="3277"/>
      <c r="D36" s="1791"/>
      <c r="E36" s="3278"/>
      <c r="F36" s="3278"/>
      <c r="G36" s="1686" t="str">
        <f>IF(B35="场地未平整","估价结果处理","")</f>
        <v/>
      </c>
      <c r="H36" s="3279"/>
      <c r="I36" s="3279"/>
      <c r="J36" s="1693"/>
      <c r="K36" s="1774"/>
      <c r="L36" s="1722"/>
      <c r="M36" s="1722"/>
      <c r="N36" s="1693"/>
      <c r="O36" s="1694"/>
      <c r="P36" s="1693"/>
      <c r="Q36" s="1693"/>
      <c r="R36" s="1693"/>
      <c r="S36" s="1693"/>
      <c r="T36" s="1693"/>
      <c r="U36" s="1693"/>
    </row>
    <row r="37" spans="1:21" ht="28.5">
      <c r="A37" s="3267"/>
      <c r="B37" s="325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7"/>
      <c r="B38" s="3257"/>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68"/>
      <c r="B39" s="325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9" t="s">
        <v>1986</v>
      </c>
      <c r="T40" s="1730" t="str">
        <f>NUMBERSTRING(7-K40,1)&amp;"通"</f>
        <v>七通</v>
      </c>
      <c r="U40" s="1693"/>
    </row>
    <row r="41" spans="1:21" ht="28.5">
      <c r="A41" s="1662"/>
      <c r="B41" s="3272" t="s">
        <v>1722</v>
      </c>
      <c r="C41" s="3272"/>
      <c r="D41" s="3272"/>
      <c r="E41" s="3272"/>
      <c r="F41" s="1731" t="str">
        <f>C10</f>
        <v>河南省郑州市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L13" activePane="bottomRight" state="frozen"/>
      <selection pane="topRight" activeCell="E1" sqref="E1"/>
      <selection pane="bottomLeft" activeCell="A12" sqref="A12"/>
      <selection pane="bottomRight" activeCell="AV39" sqref="AV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35517.65</v>
      </c>
      <c r="B3" s="22">
        <f>IF(C3="否",G5-AT5,G5)</f>
        <v>183164</v>
      </c>
      <c r="C3" s="23" t="s">
        <v>3011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183164</v>
      </c>
      <c r="H5" s="27">
        <f t="shared" ref="H5:AT5" si="0">SUM(H13:H641)</f>
        <v>134023</v>
      </c>
      <c r="I5" s="27">
        <f t="shared" si="0"/>
        <v>30612</v>
      </c>
      <c r="J5" s="27">
        <f t="shared" si="0"/>
        <v>0</v>
      </c>
      <c r="K5" s="27">
        <f t="shared" si="0"/>
        <v>15485</v>
      </c>
      <c r="L5" s="27">
        <f t="shared" si="0"/>
        <v>0</v>
      </c>
      <c r="M5" s="27">
        <f t="shared" si="0"/>
        <v>87926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49141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700</v>
      </c>
      <c r="AM5" s="27">
        <f t="shared" si="0"/>
        <v>0</v>
      </c>
      <c r="AN5" s="27">
        <f t="shared" si="0"/>
        <v>48441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183164</v>
      </c>
      <c r="BA5" s="29">
        <f t="shared" si="1"/>
        <v>134023</v>
      </c>
      <c r="BB5" s="29">
        <f t="shared" si="1"/>
        <v>30612</v>
      </c>
      <c r="BC5" s="29">
        <f t="shared" si="1"/>
        <v>15485</v>
      </c>
      <c r="BD5" s="29">
        <f t="shared" si="1"/>
        <v>87926</v>
      </c>
      <c r="BE5" s="29">
        <f t="shared" si="1"/>
        <v>0</v>
      </c>
      <c r="BF5" s="29">
        <f t="shared" si="1"/>
        <v>0</v>
      </c>
      <c r="BG5" s="29">
        <f t="shared" si="1"/>
        <v>0</v>
      </c>
      <c r="BH5" s="29">
        <f t="shared" si="1"/>
        <v>0</v>
      </c>
      <c r="BI5" s="29">
        <f t="shared" si="1"/>
        <v>0</v>
      </c>
      <c r="BJ5" s="29">
        <f t="shared" si="1"/>
        <v>0</v>
      </c>
      <c r="BK5" s="29">
        <f t="shared" si="1"/>
        <v>0</v>
      </c>
      <c r="BL5" s="29">
        <f t="shared" si="1"/>
        <v>49141</v>
      </c>
      <c r="BM5" s="29">
        <f t="shared" si="1"/>
        <v>0</v>
      </c>
      <c r="BN5" s="29">
        <f t="shared" si="1"/>
        <v>0</v>
      </c>
      <c r="BO5" s="29">
        <f t="shared" si="1"/>
        <v>0</v>
      </c>
      <c r="BP5" s="29">
        <f t="shared" si="1"/>
        <v>0</v>
      </c>
      <c r="BQ5" s="29">
        <f t="shared" si="1"/>
        <v>700</v>
      </c>
      <c r="BR5" s="29">
        <f t="shared" si="1"/>
        <v>48441</v>
      </c>
      <c r="BS5" s="29">
        <f t="shared" si="1"/>
        <v>0</v>
      </c>
      <c r="BT5" s="30">
        <f t="shared" si="1"/>
        <v>0</v>
      </c>
    </row>
    <row r="6" spans="1:72" s="37" customFormat="1" ht="12.75">
      <c r="A6" s="26" t="s">
        <v>169</v>
      </c>
      <c r="B6" s="31"/>
      <c r="C6" s="31"/>
      <c r="D6" s="32"/>
      <c r="E6" s="27">
        <f>H6+AC6+AT6</f>
        <v>35517.65</v>
      </c>
      <c r="F6" s="27" t="s">
        <v>1</v>
      </c>
      <c r="G6" s="27" t="s">
        <v>2</v>
      </c>
      <c r="H6" s="33">
        <f>SUMIF(I$12:AB$12,"总值",I6:AB6)</f>
        <v>25988.63</v>
      </c>
      <c r="I6" s="27">
        <f t="shared" ref="I6:AB6" si="2">ROUND($A$3*I5/$B$3,2)</f>
        <v>5936.03</v>
      </c>
      <c r="J6" s="27">
        <f t="shared" si="2"/>
        <v>0</v>
      </c>
      <c r="K6" s="27">
        <f t="shared" si="2"/>
        <v>3002.72</v>
      </c>
      <c r="L6" s="27">
        <f t="shared" si="2"/>
        <v>0</v>
      </c>
      <c r="M6" s="27">
        <f t="shared" si="2"/>
        <v>17049.88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9529.02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135.74</v>
      </c>
      <c r="AM6" s="27">
        <f t="shared" si="3"/>
        <v>0</v>
      </c>
      <c r="AN6" s="27">
        <f t="shared" si="3"/>
        <v>9393.2800000000007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35517.65</v>
      </c>
      <c r="AZ6" s="27" t="s">
        <v>3</v>
      </c>
      <c r="BA6" s="27">
        <f>ROUND($AY$6*BA5/$AZ$5,2)</f>
        <v>25988.63</v>
      </c>
      <c r="BB6" s="27">
        <f>ROUND($AY$6*BB5/$AZ$5,2)</f>
        <v>5936.03</v>
      </c>
      <c r="BC6" s="27">
        <f t="shared" ref="BC6:BH6" si="4">ROUND($AY$6*BC5/$AZ$5,2)</f>
        <v>3002.72</v>
      </c>
      <c r="BD6" s="27">
        <f t="shared" si="4"/>
        <v>17049.88</v>
      </c>
      <c r="BE6" s="27">
        <f t="shared" si="4"/>
        <v>0</v>
      </c>
      <c r="BF6" s="27">
        <f t="shared" si="4"/>
        <v>0</v>
      </c>
      <c r="BG6" s="27">
        <f t="shared" si="4"/>
        <v>0</v>
      </c>
      <c r="BH6" s="27">
        <f t="shared" si="4"/>
        <v>0</v>
      </c>
      <c r="BI6" s="27">
        <f t="shared" ref="BI6:BT6" si="5">ROUND($AY$6*BI5/$AZ$5,2)</f>
        <v>0</v>
      </c>
      <c r="BJ6" s="27">
        <f t="shared" si="5"/>
        <v>0</v>
      </c>
      <c r="BK6" s="27">
        <f t="shared" si="5"/>
        <v>0</v>
      </c>
      <c r="BL6" s="27">
        <f t="shared" si="5"/>
        <v>9529.02</v>
      </c>
      <c r="BM6" s="27">
        <f t="shared" si="5"/>
        <v>0</v>
      </c>
      <c r="BN6" s="27">
        <f t="shared" si="5"/>
        <v>0</v>
      </c>
      <c r="BO6" s="27">
        <f t="shared" si="5"/>
        <v>0</v>
      </c>
      <c r="BP6" s="27">
        <f t="shared" si="5"/>
        <v>0</v>
      </c>
      <c r="BQ6" s="27">
        <f t="shared" si="5"/>
        <v>135.74</v>
      </c>
      <c r="BR6" s="27">
        <f t="shared" si="5"/>
        <v>9393.2800000000007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3004</v>
      </c>
      <c r="J9" s="51"/>
      <c r="K9" s="2991" t="s">
        <v>3004</v>
      </c>
      <c r="L9" s="51"/>
      <c r="M9" s="2991" t="s">
        <v>3004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2995</v>
      </c>
      <c r="J10" s="51"/>
      <c r="K10" s="2993" t="s">
        <v>2995</v>
      </c>
      <c r="L10" s="51"/>
      <c r="M10" s="2991" t="s">
        <v>2995</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3063</v>
      </c>
      <c r="J11" s="71"/>
      <c r="K11" s="2992" t="s">
        <v>3005</v>
      </c>
      <c r="L11" s="71"/>
      <c r="M11" s="2992" t="s">
        <v>3065</v>
      </c>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平层公寓</v>
      </c>
      <c r="BC12" s="79" t="str">
        <f>K11</f>
        <v>底商</v>
      </c>
      <c r="BD12" s="79" t="str">
        <f>M11</f>
        <v>loft公寓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3183" t="s">
        <v>3002</v>
      </c>
      <c r="D13" s="2990" t="s">
        <v>1679</v>
      </c>
      <c r="E13" s="27">
        <f t="shared" ref="E13:E20" si="6">IF($C$3="是",ROUND($A$3*G13/$B$3,2),ROUND($A$3*(G13-AT13)/$B$3,2))</f>
        <v>12531.74</v>
      </c>
      <c r="F13" s="81"/>
      <c r="G13" s="82">
        <f t="shared" ref="G13:G20" si="7">H13+AC13+AT13</f>
        <v>64626</v>
      </c>
      <c r="H13" s="33">
        <f t="shared" ref="H13:H20" si="8">SUMIF(I$12:AB$12,"总值",I13:AB13)</f>
        <v>15485</v>
      </c>
      <c r="I13" s="3186"/>
      <c r="J13" s="3186"/>
      <c r="K13" s="3186">
        <v>15485</v>
      </c>
      <c r="L13" s="3186"/>
      <c r="M13" s="3186"/>
      <c r="N13" s="3187"/>
      <c r="O13" s="83"/>
      <c r="P13" s="83"/>
      <c r="Q13" s="83"/>
      <c r="R13" s="83"/>
      <c r="S13" s="83"/>
      <c r="T13" s="83"/>
      <c r="U13" s="83"/>
      <c r="V13" s="83"/>
      <c r="W13" s="83"/>
      <c r="X13" s="83"/>
      <c r="Y13" s="83"/>
      <c r="Z13" s="83"/>
      <c r="AA13" s="83"/>
      <c r="AB13" s="83"/>
      <c r="AC13" s="27">
        <f t="shared" ref="AC13:AC20" si="9">SUMIF(AD$12:AS$12,"总值",AD13:AS13)</f>
        <v>49141</v>
      </c>
      <c r="AD13" s="2994"/>
      <c r="AE13" s="2994"/>
      <c r="AF13" s="2994"/>
      <c r="AG13" s="2994"/>
      <c r="AH13" s="2994"/>
      <c r="AI13" s="2994"/>
      <c r="AJ13" s="2994"/>
      <c r="AK13" s="2994"/>
      <c r="AL13" s="2994">
        <f>134723-I14-K13-M14</f>
        <v>700</v>
      </c>
      <c r="AM13" s="2994"/>
      <c r="AN13" s="2994">
        <f>183164-134723</f>
        <v>48441</v>
      </c>
      <c r="AO13" s="2994"/>
      <c r="AP13" s="2994"/>
      <c r="AQ13" s="2994"/>
      <c r="AR13" s="2994"/>
      <c r="AS13" s="2994"/>
      <c r="AT13" s="2995"/>
      <c r="AU13" s="2996"/>
      <c r="AV13" s="17">
        <f t="shared" ref="AV13:AX20" si="10">A13</f>
        <v>0</v>
      </c>
      <c r="AW13" s="17">
        <f t="shared" si="10"/>
        <v>0</v>
      </c>
      <c r="AX13" s="17" t="str">
        <f t="shared" si="10"/>
        <v>商场</v>
      </c>
      <c r="AY13" s="996">
        <f t="shared" ref="AY13:AY20" si="11">ROUND($AY$6*AZ13/$AZ$5,2)</f>
        <v>12531.74</v>
      </c>
      <c r="AZ13" s="27">
        <f t="shared" ref="AZ13:AZ20" si="12">BA13+BL13</f>
        <v>64626</v>
      </c>
      <c r="BA13" s="27">
        <f t="shared" ref="BA13:BA20" si="13">SUM(BB13:BK13)</f>
        <v>15485</v>
      </c>
      <c r="BB13" s="27">
        <f t="shared" ref="BB13:BB20" si="14">IF($D13="是",I13-J13,0)</f>
        <v>0</v>
      </c>
      <c r="BC13" s="27">
        <f t="shared" ref="BC13:BC20" si="15">IF($D13="是",K13-L13,0)</f>
        <v>15485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49141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700</v>
      </c>
      <c r="BR13" s="27">
        <f t="shared" ref="BR13:BR20" si="30">IF($D13="是",AN13-AO13,0)</f>
        <v>48441</v>
      </c>
      <c r="BS13" s="27">
        <f t="shared" ref="BS13:BS20" si="31">IF($D13="是",AP13-AQ13,0)</f>
        <v>0</v>
      </c>
      <c r="BT13" s="36">
        <f t="shared" ref="BT13:BT20" si="32">IF($D13="是",AR13-AS13,0)</f>
        <v>0</v>
      </c>
    </row>
    <row r="14" spans="1:72" s="18" customFormat="1" ht="12.75">
      <c r="A14" s="2989"/>
      <c r="B14" s="2989"/>
      <c r="C14" s="3183" t="s">
        <v>3003</v>
      </c>
      <c r="D14" s="2990" t="s">
        <v>1679</v>
      </c>
      <c r="E14" s="27">
        <f t="shared" si="6"/>
        <v>22985.91</v>
      </c>
      <c r="F14" s="81"/>
      <c r="G14" s="82">
        <f t="shared" si="7"/>
        <v>118538</v>
      </c>
      <c r="H14" s="33">
        <f t="shared" si="8"/>
        <v>118538</v>
      </c>
      <c r="I14" s="3186">
        <v>30612</v>
      </c>
      <c r="J14" s="3186"/>
      <c r="K14" s="3186"/>
      <c r="L14" s="3186"/>
      <c r="M14" s="3186">
        <v>87926</v>
      </c>
      <c r="N14" s="3187"/>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3188"/>
      <c r="AM14" s="3188"/>
      <c r="AN14" s="3188"/>
      <c r="AO14" s="3188"/>
      <c r="AP14" s="2994"/>
      <c r="AQ14" s="2994"/>
      <c r="AR14" s="2994"/>
      <c r="AS14" s="2994"/>
      <c r="AT14" s="2995"/>
      <c r="AU14" s="2996"/>
      <c r="AV14" s="17">
        <f t="shared" si="10"/>
        <v>0</v>
      </c>
      <c r="AW14" s="17">
        <f t="shared" si="10"/>
        <v>0</v>
      </c>
      <c r="AX14" s="17" t="str">
        <f t="shared" si="10"/>
        <v>商务建筑</v>
      </c>
      <c r="AY14" s="996">
        <f t="shared" si="11"/>
        <v>22985.91</v>
      </c>
      <c r="AZ14" s="27">
        <f t="shared" si="12"/>
        <v>118538</v>
      </c>
      <c r="BA14" s="27">
        <f t="shared" si="13"/>
        <v>118538</v>
      </c>
      <c r="BB14" s="27">
        <f t="shared" si="14"/>
        <v>30612</v>
      </c>
      <c r="BC14" s="27">
        <f t="shared" si="15"/>
        <v>0</v>
      </c>
      <c r="BD14" s="27">
        <f t="shared" si="16"/>
        <v>87926</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3183" t="s">
        <v>3006</v>
      </c>
      <c r="D15" s="2990" t="s">
        <v>1679</v>
      </c>
      <c r="E15" s="27">
        <f t="shared" si="6"/>
        <v>0</v>
      </c>
      <c r="F15" s="81"/>
      <c r="G15" s="82">
        <f t="shared" si="7"/>
        <v>0</v>
      </c>
      <c r="H15" s="33">
        <f t="shared" si="8"/>
        <v>0</v>
      </c>
      <c r="I15" s="3186"/>
      <c r="J15" s="3186"/>
      <c r="K15" s="3186"/>
      <c r="L15" s="3186"/>
      <c r="M15" s="3186"/>
      <c r="N15" s="3187"/>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3188"/>
      <c r="AM15" s="3188"/>
      <c r="AN15" s="3188"/>
      <c r="AO15" s="3188"/>
      <c r="AP15" s="2994"/>
      <c r="AQ15" s="2994"/>
      <c r="AR15" s="2994"/>
      <c r="AS15" s="2994"/>
      <c r="AT15" s="2995"/>
      <c r="AU15" s="2996"/>
      <c r="AV15" s="17">
        <f t="shared" si="10"/>
        <v>0</v>
      </c>
      <c r="AW15" s="17">
        <f t="shared" si="10"/>
        <v>0</v>
      </c>
      <c r="AX15" s="17" t="str">
        <f t="shared" si="10"/>
        <v>物业用房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3183" t="s">
        <v>3007</v>
      </c>
      <c r="D16" s="2990" t="s">
        <v>1679</v>
      </c>
      <c r="E16" s="27">
        <f t="shared" si="6"/>
        <v>0</v>
      </c>
      <c r="F16" s="81"/>
      <c r="G16" s="82">
        <f t="shared" si="7"/>
        <v>0</v>
      </c>
      <c r="H16" s="33">
        <f t="shared" si="8"/>
        <v>0</v>
      </c>
      <c r="I16" s="3186"/>
      <c r="J16" s="3186"/>
      <c r="K16" s="3186"/>
      <c r="L16" s="3186"/>
      <c r="M16" s="3186"/>
      <c r="N16" s="3187"/>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3188"/>
      <c r="AM16" s="3188"/>
      <c r="AN16" s="3188"/>
      <c r="AO16" s="3188"/>
      <c r="AP16" s="2994"/>
      <c r="AQ16" s="2994"/>
      <c r="AR16" s="2994"/>
      <c r="AS16" s="2994"/>
      <c r="AT16" s="2995"/>
      <c r="AU16" s="2996"/>
      <c r="AV16" s="17">
        <f t="shared" si="10"/>
        <v>0</v>
      </c>
      <c r="AW16" s="17">
        <f t="shared" si="10"/>
        <v>0</v>
      </c>
      <c r="AX16" s="17" t="str">
        <f t="shared" si="10"/>
        <v>设备用房</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3183" t="s">
        <v>3008</v>
      </c>
      <c r="D17" s="2990" t="s">
        <v>1679</v>
      </c>
      <c r="E17" s="27">
        <f t="shared" si="6"/>
        <v>0</v>
      </c>
      <c r="F17" s="81"/>
      <c r="G17" s="82">
        <f t="shared" si="7"/>
        <v>0</v>
      </c>
      <c r="H17" s="33">
        <f t="shared" si="8"/>
        <v>0</v>
      </c>
      <c r="I17" s="3186"/>
      <c r="J17" s="3186"/>
      <c r="K17" s="3186"/>
      <c r="L17" s="3186"/>
      <c r="M17" s="3186"/>
      <c r="N17" s="3187"/>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3188"/>
      <c r="AM17" s="3188"/>
      <c r="AN17" s="3188"/>
      <c r="AO17" s="3188"/>
      <c r="AP17" s="2994"/>
      <c r="AQ17" s="2994"/>
      <c r="AR17" s="2994"/>
      <c r="AS17" s="2994"/>
      <c r="AT17" s="2995"/>
      <c r="AU17" s="2996"/>
      <c r="AV17" s="17">
        <f t="shared" si="10"/>
        <v>0</v>
      </c>
      <c r="AW17" s="17">
        <f t="shared" si="10"/>
        <v>0</v>
      </c>
      <c r="AX17" s="17" t="str">
        <f t="shared" si="10"/>
        <v>仓储</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4" t="s">
        <v>3009</v>
      </c>
      <c r="D18" s="2990" t="s">
        <v>1679</v>
      </c>
      <c r="E18" s="87">
        <f t="shared" si="6"/>
        <v>0</v>
      </c>
      <c r="F18" s="88"/>
      <c r="G18" s="89">
        <f t="shared" si="7"/>
        <v>0</v>
      </c>
      <c r="H18" s="90">
        <f t="shared" si="8"/>
        <v>0</v>
      </c>
      <c r="I18" s="3182"/>
      <c r="J18" s="3187"/>
      <c r="K18" s="3182"/>
      <c r="L18" s="3187"/>
      <c r="M18" s="3187"/>
      <c r="N18" s="3187"/>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3189"/>
      <c r="AM18" s="3190"/>
      <c r="AN18" s="3182"/>
      <c r="AO18" s="3190"/>
      <c r="AP18" s="92"/>
      <c r="AQ18" s="92"/>
      <c r="AR18" s="92"/>
      <c r="AS18" s="92"/>
      <c r="AT18" s="93"/>
      <c r="AU18" s="94"/>
      <c r="AV18" s="992">
        <f t="shared" si="10"/>
        <v>0</v>
      </c>
      <c r="AW18" s="992">
        <f t="shared" si="10"/>
        <v>0</v>
      </c>
      <c r="AX18" s="992" t="str">
        <f t="shared" si="10"/>
        <v>附属用房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185" t="s">
        <v>3010</v>
      </c>
      <c r="D19" s="2990" t="s">
        <v>1679</v>
      </c>
      <c r="E19" s="87">
        <f t="shared" si="6"/>
        <v>0</v>
      </c>
      <c r="F19" s="88"/>
      <c r="G19" s="89">
        <f t="shared" si="7"/>
        <v>0</v>
      </c>
      <c r="H19" s="90">
        <f t="shared" si="8"/>
        <v>0</v>
      </c>
      <c r="I19" s="3182"/>
      <c r="J19" s="3187"/>
      <c r="K19" s="3182"/>
      <c r="L19" s="3187"/>
      <c r="M19" s="3187"/>
      <c r="N19" s="3187"/>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3190"/>
      <c r="AM19" s="3190"/>
      <c r="AN19" s="3182"/>
      <c r="AO19" s="3190"/>
      <c r="AP19" s="92"/>
      <c r="AQ19" s="92"/>
      <c r="AR19" s="92"/>
      <c r="AS19" s="92"/>
      <c r="AT19" s="93"/>
      <c r="AU19" s="94"/>
      <c r="AV19" s="992">
        <f t="shared" si="10"/>
        <v>0</v>
      </c>
      <c r="AW19" s="992">
        <f t="shared" si="10"/>
        <v>0</v>
      </c>
      <c r="AX19" s="992" t="str">
        <f t="shared" si="10"/>
        <v>非机动车</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3182"/>
      <c r="J20" s="3187"/>
      <c r="K20" s="3182"/>
      <c r="L20" s="3187"/>
      <c r="M20" s="3187"/>
      <c r="N20" s="3187"/>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3190"/>
      <c r="AM20" s="3190"/>
      <c r="AN20" s="3182"/>
      <c r="AO20" s="3190"/>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3190"/>
      <c r="AM21" s="3190"/>
      <c r="AN21" s="3189"/>
      <c r="AO21" s="3190"/>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1" t="s">
        <v>203</v>
      </c>
      <c r="B2" s="3291"/>
      <c r="C2" s="3291"/>
      <c r="D2" s="1975" t="s">
        <v>204</v>
      </c>
      <c r="E2" s="106" t="s">
        <v>205</v>
      </c>
      <c r="F2" s="1984"/>
      <c r="G2" s="1198"/>
      <c r="H2" s="1199"/>
      <c r="I2" s="1200" t="s">
        <v>857</v>
      </c>
      <c r="J2" s="1984"/>
      <c r="K2" s="1984"/>
      <c r="L2" s="1984"/>
    </row>
    <row r="3" spans="1:16" ht="15.75" thickBot="1">
      <c r="A3" s="3292" t="s">
        <v>206</v>
      </c>
      <c r="B3" s="3292"/>
      <c r="C3" s="3292"/>
      <c r="D3" s="107">
        <f>'数据-基础表'!AY6</f>
        <v>35517.65</v>
      </c>
      <c r="E3" s="107">
        <f>'数据-基础表'!AZ5</f>
        <v>183164</v>
      </c>
      <c r="F3" s="1984"/>
      <c r="G3" s="280" t="s">
        <v>858</v>
      </c>
      <c r="H3" s="275" t="s">
        <v>859</v>
      </c>
      <c r="I3" s="1976">
        <f>ROUND('数据-基础表'!B3/'数据-基础表'!A3,2)</f>
        <v>5.16</v>
      </c>
      <c r="J3" s="1984"/>
      <c r="K3" s="1984"/>
      <c r="L3" s="1984"/>
    </row>
    <row r="4" spans="1:16" ht="15">
      <c r="A4" s="3293"/>
      <c r="B4" s="3294"/>
      <c r="C4" s="3295"/>
      <c r="D4" s="108" t="s">
        <v>204</v>
      </c>
      <c r="E4" s="109" t="s">
        <v>205</v>
      </c>
      <c r="F4" s="1984"/>
      <c r="G4" s="1201"/>
      <c r="H4" s="275" t="s">
        <v>860</v>
      </c>
      <c r="I4" s="1976">
        <f>ROUND(SUMIF('数据-基础表'!I9:AS9,"地上",'数据-基础表'!I5:AS5)/'数据-基础表'!A3,2)</f>
        <v>3.79</v>
      </c>
      <c r="J4" s="1984"/>
      <c r="K4" s="1984"/>
      <c r="L4" s="1984"/>
    </row>
    <row r="5" spans="1:16">
      <c r="A5" s="110" t="s">
        <v>207</v>
      </c>
      <c r="B5" s="3296" t="s">
        <v>230</v>
      </c>
      <c r="C5" s="3296"/>
      <c r="D5" s="111">
        <f>ROUND($D$3*E5/$E$3,2)</f>
        <v>0</v>
      </c>
      <c r="E5" s="112">
        <f>SUMIF('数据-基础表'!$11:$11,"住宅",'数据-基础表'!$5:$5)</f>
        <v>0</v>
      </c>
      <c r="F5" s="1984"/>
      <c r="G5" s="280" t="s">
        <v>861</v>
      </c>
      <c r="H5" s="275" t="s">
        <v>859</v>
      </c>
      <c r="I5" s="1976">
        <f>ROUND(E31/D31,2)</f>
        <v>5.16</v>
      </c>
      <c r="J5" s="1984"/>
      <c r="K5" s="1984"/>
      <c r="L5" s="1984"/>
    </row>
    <row r="6" spans="1:16" ht="15" thickBot="1">
      <c r="A6" s="113"/>
      <c r="B6" s="3296" t="s">
        <v>208</v>
      </c>
      <c r="C6" s="3296"/>
      <c r="D6" s="111">
        <f>ROUND($D$3*E6/$E$3,2)</f>
        <v>35517.65</v>
      </c>
      <c r="E6" s="112">
        <f>E3-E5</f>
        <v>183164</v>
      </c>
      <c r="F6" s="1984"/>
      <c r="G6" s="1201"/>
      <c r="H6" s="275" t="s">
        <v>860</v>
      </c>
      <c r="I6" s="1976">
        <f>ROUND(F31/D31,2)</f>
        <v>3.79</v>
      </c>
      <c r="J6" s="1984"/>
      <c r="K6" s="1984"/>
      <c r="L6" s="1984"/>
    </row>
    <row r="7" spans="1:16" ht="15">
      <c r="A7" s="3288"/>
      <c r="B7" s="3289"/>
      <c r="C7" s="3290"/>
      <c r="D7" s="108" t="s">
        <v>204</v>
      </c>
      <c r="E7" s="114" t="s">
        <v>231</v>
      </c>
      <c r="F7" s="1984"/>
      <c r="G7" s="1156" t="s">
        <v>1646</v>
      </c>
      <c r="H7" s="1157"/>
      <c r="I7" s="1846"/>
      <c r="J7" s="1984"/>
      <c r="K7" s="1984"/>
      <c r="L7" s="1984"/>
    </row>
    <row r="8" spans="1:16">
      <c r="A8" s="110" t="s">
        <v>209</v>
      </c>
      <c r="B8" s="115" t="s">
        <v>210</v>
      </c>
      <c r="C8" s="111" t="s">
        <v>211</v>
      </c>
      <c r="D8" s="111">
        <f t="shared" ref="D8:D15" si="0">ROUND($D$3*E8/$E$3,2)</f>
        <v>25988.63</v>
      </c>
      <c r="E8" s="116">
        <f>SUMIF('数据-基础表'!BB10:BK10,"地上",'数据-基础表'!BB5:BK5)</f>
        <v>134023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25988.63</v>
      </c>
      <c r="E16" s="120">
        <f>SUM(E8:E15)</f>
        <v>134023</v>
      </c>
      <c r="F16" s="1984"/>
      <c r="G16" s="1986"/>
      <c r="H16" s="968" t="s">
        <v>219</v>
      </c>
      <c r="I16" s="969"/>
      <c r="J16" s="1984"/>
      <c r="K16" s="3282" t="s">
        <v>2566</v>
      </c>
      <c r="L16" s="3283"/>
      <c r="M16" s="3283"/>
      <c r="N16" s="3283"/>
      <c r="O16" s="3283"/>
      <c r="P16" s="3284"/>
    </row>
    <row r="17" spans="1:19" ht="15">
      <c r="A17" s="121" t="s">
        <v>216</v>
      </c>
      <c r="B17" s="122" t="s">
        <v>217</v>
      </c>
      <c r="C17" s="2298" t="s">
        <v>2314</v>
      </c>
      <c r="D17" s="108" t="s">
        <v>204</v>
      </c>
      <c r="E17" s="124" t="s">
        <v>205</v>
      </c>
      <c r="F17" s="125"/>
      <c r="G17" s="1366"/>
      <c r="H17" s="970" t="s">
        <v>218</v>
      </c>
      <c r="I17" s="971" t="s">
        <v>2313</v>
      </c>
      <c r="J17" s="1984"/>
      <c r="K17" s="3285" t="s">
        <v>2567</v>
      </c>
      <c r="L17" s="3286"/>
      <c r="M17" s="3287"/>
      <c r="N17" s="3285" t="s">
        <v>2568</v>
      </c>
      <c r="O17" s="3286"/>
      <c r="P17" s="3287"/>
      <c r="R17" s="2299" t="s">
        <v>2312</v>
      </c>
      <c r="S17" s="144"/>
    </row>
    <row r="18" spans="1:19" ht="15">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2310</v>
      </c>
      <c r="S18" s="2300" t="s">
        <v>2311</v>
      </c>
    </row>
    <row r="19" spans="1:19">
      <c r="A19" s="133"/>
      <c r="B19" s="115" t="s">
        <v>225</v>
      </c>
      <c r="C19" s="2997" t="s">
        <v>3062</v>
      </c>
      <c r="D19" s="111">
        <f t="shared" ref="D19:D26" si="1">ROUND($D$3*E19/$E$3,2)</f>
        <v>3002.72</v>
      </c>
      <c r="E19" s="134">
        <f t="shared" ref="E19:E26" si="2">SUM(F19:G19)</f>
        <v>15485</v>
      </c>
      <c r="F19" s="135">
        <f>'数据-基础表'!K13+'数据-基础表'!M17</f>
        <v>15485</v>
      </c>
      <c r="G19" s="1368"/>
      <c r="H19" s="974">
        <f>ROUND($D$3*I19/$E$3,2)</f>
        <v>1100.98</v>
      </c>
      <c r="I19" s="116">
        <f>IF($I$17="自定义",P19,M19)</f>
        <v>5677.74</v>
      </c>
      <c r="J19" s="1984"/>
      <c r="K19" s="2587">
        <f t="shared" ref="K19:K26" si="3">ROUND(E$28*E19/E$27,2)</f>
        <v>5677.74</v>
      </c>
      <c r="L19" s="275">
        <f t="shared" ref="L19:L26" si="4">ROUND(IF(COUNTIF(C19,"*住宅*")&gt;0,E$29*E19/E$32,0),2)</f>
        <v>0</v>
      </c>
      <c r="M19" s="2588">
        <f>K19+L19</f>
        <v>5677.74</v>
      </c>
      <c r="N19" s="2589"/>
      <c r="O19" s="2590"/>
      <c r="P19" s="2591">
        <f>N19+O19</f>
        <v>0</v>
      </c>
      <c r="R19" s="275">
        <f t="shared" ref="R19:S26" si="5">D19+H19</f>
        <v>4103.7</v>
      </c>
      <c r="S19" s="2301">
        <f t="shared" si="5"/>
        <v>21162.739999999998</v>
      </c>
    </row>
    <row r="20" spans="1:19">
      <c r="A20" s="138"/>
      <c r="B20" s="115" t="s">
        <v>226</v>
      </c>
      <c r="C20" s="2997" t="s">
        <v>3064</v>
      </c>
      <c r="D20" s="111">
        <f t="shared" si="1"/>
        <v>5936.03</v>
      </c>
      <c r="E20" s="134">
        <f t="shared" si="2"/>
        <v>30612</v>
      </c>
      <c r="F20" s="135">
        <f>'数据-基础表'!I14</f>
        <v>30612</v>
      </c>
      <c r="G20" s="1368"/>
      <c r="H20" s="974">
        <f t="shared" ref="H20:H26" si="6">ROUND($D$3*I20/$E$3,2)</f>
        <v>2176.5100000000002</v>
      </c>
      <c r="I20" s="116">
        <f t="shared" ref="I20:I26" si="7">IF($I$17="自定义",P20,M20)</f>
        <v>11224.22</v>
      </c>
      <c r="J20" s="1984"/>
      <c r="K20" s="2587">
        <f t="shared" si="3"/>
        <v>11224.22</v>
      </c>
      <c r="L20" s="275">
        <f t="shared" si="4"/>
        <v>0</v>
      </c>
      <c r="M20" s="2588">
        <f t="shared" ref="M20:M26" si="8">K20+L20</f>
        <v>11224.22</v>
      </c>
      <c r="N20" s="2589"/>
      <c r="O20" s="2590"/>
      <c r="P20" s="2591">
        <f t="shared" ref="P20:P26" si="9">N20+O20</f>
        <v>0</v>
      </c>
      <c r="R20" s="275">
        <f t="shared" si="5"/>
        <v>8112.54</v>
      </c>
      <c r="S20" s="2301">
        <f t="shared" si="5"/>
        <v>41836.22</v>
      </c>
    </row>
    <row r="21" spans="1:19">
      <c r="A21" s="138"/>
      <c r="B21" s="115" t="s">
        <v>226</v>
      </c>
      <c r="C21" s="2997" t="s">
        <v>3066</v>
      </c>
      <c r="D21" s="111">
        <f t="shared" si="1"/>
        <v>17049.88</v>
      </c>
      <c r="E21" s="134">
        <f t="shared" si="2"/>
        <v>87926</v>
      </c>
      <c r="F21" s="135">
        <f>'数据-基础表'!M14</f>
        <v>87926</v>
      </c>
      <c r="G21" s="1368"/>
      <c r="H21" s="974">
        <f t="shared" si="6"/>
        <v>6251.53</v>
      </c>
      <c r="I21" s="116">
        <f t="shared" si="7"/>
        <v>32239.03</v>
      </c>
      <c r="J21" s="1984"/>
      <c r="K21" s="2587">
        <f t="shared" si="3"/>
        <v>32239.03</v>
      </c>
      <c r="L21" s="275">
        <f t="shared" si="4"/>
        <v>0</v>
      </c>
      <c r="M21" s="2588">
        <f t="shared" si="8"/>
        <v>32239.03</v>
      </c>
      <c r="N21" s="2589"/>
      <c r="O21" s="2590"/>
      <c r="P21" s="2591">
        <f t="shared" si="9"/>
        <v>0</v>
      </c>
      <c r="R21" s="275">
        <f t="shared" si="5"/>
        <v>23301.41</v>
      </c>
      <c r="S21" s="2301">
        <f t="shared" si="5"/>
        <v>120165.03</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25988.63</v>
      </c>
      <c r="E27" s="143">
        <f>IF(SUM(E19:E26)='数据-基础表'!BA5,SUM(E19:E26),IF(F27="地上面积有误","面积有误","地下面积有误"))</f>
        <v>134023</v>
      </c>
      <c r="F27" s="134">
        <f>IF(SUM(F19:F26)=E8,SUM(F19:F26),"地上面积有误")</f>
        <v>134023</v>
      </c>
      <c r="G27" s="112">
        <f>SUM(G19:G26)</f>
        <v>0</v>
      </c>
      <c r="H27" s="975">
        <f>SUM(H19:H26)</f>
        <v>9529.02</v>
      </c>
      <c r="I27" s="976">
        <f>SUM(I19:I26)</f>
        <v>49140.99</v>
      </c>
      <c r="J27" s="1984"/>
      <c r="K27" s="2596">
        <f>SUM(K19:K26)</f>
        <v>49140.99</v>
      </c>
      <c r="L27" s="2597">
        <f>SUM(L19:L26)</f>
        <v>0</v>
      </c>
      <c r="M27" s="2598">
        <f>SUM(M19:M26)</f>
        <v>49140.99</v>
      </c>
      <c r="N27" s="2596">
        <f t="shared" ref="N27:O27" si="10">SUM(N19:N26)</f>
        <v>0</v>
      </c>
      <c r="O27" s="2597">
        <f t="shared" si="10"/>
        <v>0</v>
      </c>
      <c r="P27" s="2599">
        <f>SUM(P19:P26)</f>
        <v>0</v>
      </c>
      <c r="R27" s="2305">
        <f>IF(SUM(R19:R26)=$D$3,SUM(R19:R26),SUM(R19:R26)&amp;"误差"&amp;ROUND(SUM(R19:R26)-$D$3,2))</f>
        <v>35517.65</v>
      </c>
      <c r="S27" s="275" t="str">
        <f>IF(SUM(S19:S26)=$E$3,SUM(S19:S26),SUM(S19:S26)&amp;"误差"&amp;ROUND(SUM(S19:S26)-E3,2))</f>
        <v>183163.99误差-0.01</v>
      </c>
    </row>
    <row r="28" spans="1:19">
      <c r="A28" s="138"/>
      <c r="B28" s="115" t="s">
        <v>227</v>
      </c>
      <c r="C28" s="136" t="s">
        <v>228</v>
      </c>
      <c r="D28" s="111">
        <f>ROUND($D$3*E28/$E$3,2)</f>
        <v>9529.02</v>
      </c>
      <c r="E28" s="134">
        <f>SUM(F28:G28)</f>
        <v>49141</v>
      </c>
      <c r="F28" s="144">
        <f>'数据-基础表'!BQ5+'数据-基础表'!BS5</f>
        <v>700</v>
      </c>
      <c r="G28" s="145">
        <f>'数据-基础表'!BR5+'数据-基础表'!BT5</f>
        <v>48441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9529.02</v>
      </c>
      <c r="E30" s="134">
        <f>SUM(E28:E29)</f>
        <v>49141</v>
      </c>
      <c r="F30" s="134">
        <f>SUM(F28:F29)</f>
        <v>700</v>
      </c>
      <c r="G30" s="112">
        <f>SUM(G28:G29)</f>
        <v>48441</v>
      </c>
      <c r="H30" s="1984"/>
      <c r="I30" s="1984"/>
      <c r="J30" s="1984"/>
      <c r="K30" s="1984"/>
      <c r="L30" s="1984"/>
    </row>
    <row r="31" spans="1:19" ht="32.25" customHeight="1" thickBot="1">
      <c r="A31" s="1370"/>
      <c r="B31" s="1371" t="s">
        <v>229</v>
      </c>
      <c r="C31" s="2330" t="s">
        <v>2323</v>
      </c>
      <c r="D31" s="1372">
        <f>D27+D30</f>
        <v>35517.65</v>
      </c>
      <c r="E31" s="1372">
        <f>E27+E30</f>
        <v>183164</v>
      </c>
      <c r="F31" s="1373">
        <f>F27+F30</f>
        <v>134723</v>
      </c>
      <c r="G31" s="1374">
        <f>G27+G30</f>
        <v>48441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T6" sqref="T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9" style="1998"/>
    <col min="84" max="16384" width="9"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43564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社区底商</v>
      </c>
      <c r="B6" s="2337" t="str">
        <f>IF(A6=0,"","经营性")</f>
        <v>经营性</v>
      </c>
      <c r="C6" s="173" t="s">
        <v>2995</v>
      </c>
      <c r="D6" s="2308">
        <f>SUMIF(项目基本情况!D$15:I$15,C6,项目基本情况!D$18:I$18)</f>
        <v>40</v>
      </c>
      <c r="E6" s="2309">
        <f>IF(B6="","",SUMIF(项目基本情况!D$15:I$15,C6,项目基本情况!D$17:I$17))</f>
        <v>55561</v>
      </c>
      <c r="F6" s="174">
        <f>SUMIF(项目基本情况!D$15:I$15,C6,项目基本情况!D$19:I$19)</f>
        <v>32.86</v>
      </c>
      <c r="G6" s="175">
        <f>IF(ISERROR(ROUND(POWER(1+H6,D6-F6)*(POWER(1+H6,F6)-1)/(POWER(1+H6,D6)-1),3)),0,ROUND(POWER(1+H6,D6-F6)*(POWER(1+H6,F6)-1)/(POWER(1+H6,D6)-1),3))</f>
        <v>0.92300000000000004</v>
      </c>
      <c r="H6" s="2998">
        <v>4.4999999999999998E-2</v>
      </c>
      <c r="I6" s="2998">
        <v>5.5E-2</v>
      </c>
      <c r="J6" s="176">
        <v>8.5000000000000006E-2</v>
      </c>
      <c r="K6" s="179">
        <f>SUMIF('数据-汇总表'!C$19:C$33,'数据-取费表'!A6,'数据-汇总表'!E$19:E$33)</f>
        <v>15485</v>
      </c>
      <c r="L6" s="2999">
        <v>2800</v>
      </c>
      <c r="M6" s="177">
        <f t="shared" ref="M6:M14" si="0">ROUND(K6*L6/10000,0)</f>
        <v>4336</v>
      </c>
      <c r="N6" s="3000">
        <v>0</v>
      </c>
      <c r="O6" s="177">
        <f>IF($N$5="成新度","——",ROUND(M6*N6,0))</f>
        <v>0</v>
      </c>
      <c r="P6" s="178">
        <f>IF($N$5="成新度","——",M6-O6)</f>
        <v>4336</v>
      </c>
      <c r="Q6" s="3001">
        <v>0.2</v>
      </c>
      <c r="R6" s="179">
        <f>SUMIF('数据-汇总表'!C$19:C$33,A6,'数据-汇总表'!R$19:R$33)</f>
        <v>4103.7</v>
      </c>
      <c r="S6" s="132">
        <f>IF('数据-汇总表'!$I$17="按面积比例",SUMIF('数据-汇总表'!C$19:C$33,A6,'数据-汇总表'!K$19:K$33),SUMIF('数据-汇总表'!C$19:C$33,A6,'数据-汇总表'!N$19:N$33))</f>
        <v>5677.74</v>
      </c>
      <c r="T6" s="2234">
        <f>IF($T$4="按面积比例",IF(ISERROR(ROUND($M$14*S6/S$16,0)),"0",ROUND($M$14*S6/S$16,0)),"需自行计算录入")</f>
        <v>1249</v>
      </c>
      <c r="U6" s="180">
        <v>4.5</v>
      </c>
      <c r="V6" s="181">
        <v>0.03</v>
      </c>
      <c r="W6" s="181">
        <v>0.1</v>
      </c>
      <c r="X6" s="2321"/>
      <c r="Y6" s="182">
        <v>1</v>
      </c>
      <c r="Z6" s="183"/>
      <c r="AA6" s="176"/>
      <c r="AB6" s="176"/>
      <c r="AC6" s="2324"/>
      <c r="AD6" s="184"/>
      <c r="AE6" s="972">
        <f ca="1">IF(AN6="",0,SUMIF(INDIRECT("'"&amp;AN6&amp;"'"&amp;"!E:E"),$AE$5,INDIRECT("'"&amp;AN6&amp;"'"&amp;"!F:F")))</f>
        <v>30.86</v>
      </c>
      <c r="AF6" s="141"/>
      <c r="AG6" s="1213">
        <f>IF(AF6="",0,AE6-AF6)</f>
        <v>0</v>
      </c>
      <c r="AH6" s="141"/>
      <c r="AI6" s="187">
        <v>365</v>
      </c>
      <c r="AJ6" s="188"/>
      <c r="AK6" s="189">
        <v>1.4999999999999999E-2</v>
      </c>
      <c r="AL6" s="190">
        <v>1.5E-3</v>
      </c>
      <c r="AM6" s="3012">
        <v>0.01</v>
      </c>
      <c r="AN6" s="2371" t="s">
        <v>3012</v>
      </c>
      <c r="AO6" s="2000"/>
      <c r="AP6" s="1204">
        <f>ROUND(1-1/(1+H6)^F6,3)</f>
        <v>0.76500000000000001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平层公寓</v>
      </c>
      <c r="B7" s="2337" t="str">
        <f t="shared" ref="B7:B13" si="1">IF(A7=0,"","经营性")</f>
        <v>经营性</v>
      </c>
      <c r="C7" s="173" t="s">
        <v>2995</v>
      </c>
      <c r="D7" s="2308">
        <f>SUMIF(项目基本情况!D$15:I$15,C7,项目基本情况!D$18:I$18)</f>
        <v>40</v>
      </c>
      <c r="E7" s="2309">
        <f>IF(B7="","",SUMIF(项目基本情况!D$15:I$15,C7,项目基本情况!D$17:I$17))</f>
        <v>55561</v>
      </c>
      <c r="F7" s="174">
        <f>SUMIF(项目基本情况!D$15:I$15,C7,项目基本情况!D$19:I$19)</f>
        <v>32.86</v>
      </c>
      <c r="G7" s="175">
        <f t="shared" ref="G7:G11" si="2">IF(ISERROR(ROUND(POWER(1+H7,D7-F7)*(POWER(1+H7,F7)-1)/(POWER(1+H7,D7)-1),3)),0,ROUND(POWER(1+H7,D7-F7)*(POWER(1+H7,F7)-1)/(POWER(1+H7,D7)-1),3))</f>
        <v>0.92300000000000004</v>
      </c>
      <c r="H7" s="2998">
        <v>4.4999999999999998E-2</v>
      </c>
      <c r="I7" s="2998">
        <v>5.5E-2</v>
      </c>
      <c r="J7" s="176">
        <v>8.5000000000000006E-2</v>
      </c>
      <c r="K7" s="179">
        <f>SUMIF('数据-汇总表'!C$19:C$33,'数据-取费表'!A7,'数据-汇总表'!E$19:E$33)</f>
        <v>30612</v>
      </c>
      <c r="L7" s="2999">
        <v>2800</v>
      </c>
      <c r="M7" s="177">
        <f t="shared" si="0"/>
        <v>8571</v>
      </c>
      <c r="N7" s="3000">
        <v>0</v>
      </c>
      <c r="O7" s="177">
        <f t="shared" ref="O7:O14" si="3">IF($N$5="成新度","——",ROUND(M7*N7,0))</f>
        <v>0</v>
      </c>
      <c r="P7" s="178">
        <f t="shared" ref="P7:P14" si="4">IF($N$5="成新度","——",M7-O7)</f>
        <v>8571</v>
      </c>
      <c r="Q7" s="3001">
        <v>0.15</v>
      </c>
      <c r="R7" s="179">
        <f>SUMIF('数据-汇总表'!C$19:C$33,A7,'数据-汇总表'!R$19:R$33)</f>
        <v>8112.54</v>
      </c>
      <c r="S7" s="132">
        <f>IF('数据-汇总表'!$I$17="按面积比例",SUMIF('数据-汇总表'!C$19:C$33,A7,'数据-汇总表'!K$19:K$33),SUMIF('数据-汇总表'!C$19:C$33,A7,'数据-汇总表'!N$19:N$33))</f>
        <v>11224.22</v>
      </c>
      <c r="T7" s="2234">
        <f t="shared" ref="T7:T13" si="5">IF($T$4="按面积比例",IF(ISERROR(ROUND($M$14*S7/S$16,0)),"0",ROUND($M$14*S7/S$16,0)),"需自行计算录入")</f>
        <v>2469</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3012"/>
      <c r="AN7" s="2371"/>
      <c r="AO7" s="2000"/>
      <c r="AP7" s="1204">
        <f t="shared" ref="AP7:AP13" si="8">ROUND(1-1/(1+H7)^F7,3)</f>
        <v>0.76500000000000001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loft公寓</v>
      </c>
      <c r="B8" s="2337" t="str">
        <f t="shared" si="1"/>
        <v>经营性</v>
      </c>
      <c r="C8" s="173" t="s">
        <v>2995</v>
      </c>
      <c r="D8" s="2308">
        <f>SUMIF(项目基本情况!D$15:I$15,C8,项目基本情况!D$18:I$18)</f>
        <v>40</v>
      </c>
      <c r="E8" s="2309">
        <f>IF(B8="","",SUMIF(项目基本情况!D$15:I$15,C8,项目基本情况!D$17:I$17))</f>
        <v>55561</v>
      </c>
      <c r="F8" s="174">
        <f>SUMIF(项目基本情况!D$15:I$15,C8,项目基本情况!D$19:I$19)</f>
        <v>32.86</v>
      </c>
      <c r="G8" s="175">
        <f t="shared" si="2"/>
        <v>0.92300000000000004</v>
      </c>
      <c r="H8" s="2998">
        <v>4.4999999999999998E-2</v>
      </c>
      <c r="I8" s="2998">
        <v>5.5E-2</v>
      </c>
      <c r="J8" s="176">
        <v>8.5000000000000006E-2</v>
      </c>
      <c r="K8" s="179">
        <f>SUMIF('数据-汇总表'!C$19:C$33,'数据-取费表'!A8,'数据-汇总表'!E$19:E$33)</f>
        <v>87926</v>
      </c>
      <c r="L8" s="2999">
        <v>3200</v>
      </c>
      <c r="M8" s="177">
        <f>ROUND(K8*L8/10000,0)</f>
        <v>28136</v>
      </c>
      <c r="N8" s="3000">
        <v>0</v>
      </c>
      <c r="O8" s="177">
        <f t="shared" si="3"/>
        <v>0</v>
      </c>
      <c r="P8" s="178">
        <f t="shared" si="4"/>
        <v>28136</v>
      </c>
      <c r="Q8" s="3001">
        <v>0.2</v>
      </c>
      <c r="R8" s="179">
        <f>SUMIF('数据-汇总表'!C$19:C$33,A8,'数据-汇总表'!R$19:R$33)</f>
        <v>23301.41</v>
      </c>
      <c r="S8" s="132">
        <f>IF('数据-汇总表'!$I$17="按面积比例",SUMIF('数据-汇总表'!C$19:C$33,A8,'数据-汇总表'!K$19:K$33),SUMIF('数据-汇总表'!C$19:C$33,A8,'数据-汇总表'!N$19:N$33))</f>
        <v>32239.03</v>
      </c>
      <c r="T8" s="2234">
        <f t="shared" si="5"/>
        <v>7093</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0.76500000000000001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49141</v>
      </c>
      <c r="L14" s="193">
        <v>2200</v>
      </c>
      <c r="M14" s="177">
        <f t="shared" si="0"/>
        <v>10811</v>
      </c>
      <c r="N14" s="194">
        <v>0</v>
      </c>
      <c r="O14" s="177">
        <f t="shared" si="3"/>
        <v>0</v>
      </c>
      <c r="P14" s="178">
        <f t="shared" si="4"/>
        <v>10811</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0.92300000000000004</v>
      </c>
      <c r="H16" s="203">
        <f>ROUND(SUMPRODUCT(H6:H13,K6:K13)/SUMPRODUCT((H6:H13&gt;0)*(K6:K13)),3)</f>
        <v>4.4999999999999998E-2</v>
      </c>
      <c r="I16" s="204"/>
      <c r="J16" s="204"/>
      <c r="K16" s="205">
        <f>SUM(K6:K15)</f>
        <v>183164</v>
      </c>
      <c r="L16" s="206">
        <f>ROUND(M16*10000/SUM(K6:K14),0)</f>
        <v>2831</v>
      </c>
      <c r="M16" s="206">
        <f>SUM(M6:M14)</f>
        <v>51854</v>
      </c>
      <c r="N16" s="207">
        <f>ROUND(SUMPRODUCT(M6:M14,N6:N14)/M16,3)</f>
        <v>0</v>
      </c>
      <c r="O16" s="206">
        <f>SUM(O6:O14)</f>
        <v>0</v>
      </c>
      <c r="P16" s="206">
        <f>SUM(P6:P14)</f>
        <v>51854</v>
      </c>
      <c r="Q16" s="208">
        <f>ROUND(SUMPRODUCT(Q6:Q13,K6:K13)/SUMPRODUCT((Q6:Q13&gt;0)*(K6:K13)),2)</f>
        <v>0.19</v>
      </c>
      <c r="R16" s="2311">
        <f>SUM(R6:R13)</f>
        <v>35517.65</v>
      </c>
      <c r="S16" s="209">
        <f>SUM(S6:S13)</f>
        <v>49140.99</v>
      </c>
      <c r="T16" s="210">
        <f>IF(SUMIF(T6:T13,"&lt;9E307")=M14,SUMIF(T6:T13,"&lt;9E307"),"有误，请检查")</f>
        <v>10811</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0.76500000000000001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3207" t="s">
        <v>3068</v>
      </c>
      <c r="L18" s="3297" t="s">
        <v>3069</v>
      </c>
      <c r="M18" s="3297"/>
      <c r="N18" s="3297"/>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c r="C19" s="2343" t="s">
        <v>2337</v>
      </c>
      <c r="D19" s="1993"/>
      <c r="E19" s="1992"/>
      <c r="F19" s="1992"/>
      <c r="G19" s="1992"/>
      <c r="H19" s="1992"/>
      <c r="I19" s="1992"/>
      <c r="J19" s="1992"/>
      <c r="K19" s="3209"/>
      <c r="L19" s="3208" t="s">
        <v>3070</v>
      </c>
      <c r="M19" s="3208" t="s">
        <v>3071</v>
      </c>
      <c r="N19" s="3208" t="s">
        <v>3072</v>
      </c>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3205" t="s">
        <v>3067</v>
      </c>
      <c r="L20" s="3206">
        <v>1440</v>
      </c>
      <c r="M20" s="3206">
        <v>1729</v>
      </c>
      <c r="N20" s="3206">
        <v>1831</v>
      </c>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170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7"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48"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8"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49" t="s">
        <v>2903</v>
      </c>
      <c r="D53" s="3050"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2" t="s">
        <v>2905</v>
      </c>
      <c r="B54" s="186"/>
      <c r="C54" s="1994">
        <v>30</v>
      </c>
      <c r="D54" s="305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2" t="s">
        <v>2906</v>
      </c>
      <c r="B55" s="186">
        <v>12</v>
      </c>
      <c r="C55" s="1994">
        <v>24</v>
      </c>
      <c r="D55" s="305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2" t="s">
        <v>2907</v>
      </c>
      <c r="B56" s="186"/>
      <c r="C56" s="1994">
        <v>18</v>
      </c>
      <c r="D56" s="305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2" t="s">
        <v>2908</v>
      </c>
      <c r="B57" s="186"/>
      <c r="C57" s="1994">
        <v>12</v>
      </c>
      <c r="D57" s="305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2" t="s">
        <v>2909</v>
      </c>
      <c r="B58" s="186"/>
      <c r="C58" s="1994">
        <v>3</v>
      </c>
      <c r="D58" s="305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2" t="s">
        <v>2910</v>
      </c>
      <c r="B59" s="186"/>
      <c r="C59" s="1994">
        <v>1.5</v>
      </c>
      <c r="D59" s="305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2"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2"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2"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3"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22);"/>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8" t="s">
        <v>1664</v>
      </c>
      <c r="B1" s="3299"/>
      <c r="C1" s="3299"/>
      <c r="D1" s="3299"/>
      <c r="E1" s="3299"/>
      <c r="F1" s="3299"/>
      <c r="G1" s="329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4" t="s">
        <v>2921</v>
      </c>
      <c r="D3" s="2009"/>
      <c r="E3" s="1229" t="s">
        <v>1667</v>
      </c>
      <c r="F3" s="1230" t="s">
        <v>1655</v>
      </c>
      <c r="G3" s="3058" t="s">
        <v>2920</v>
      </c>
      <c r="H3" s="2008"/>
      <c r="I3" s="2008"/>
      <c r="J3" s="2008"/>
      <c r="K3" s="2008"/>
      <c r="L3" s="2008"/>
      <c r="M3" s="2008"/>
      <c r="N3" s="2008"/>
      <c r="O3" s="2008"/>
      <c r="P3" s="2008"/>
      <c r="Q3" s="2008"/>
      <c r="R3" s="2008"/>
    </row>
    <row r="4" spans="1:18" ht="41.25">
      <c r="A4" s="1229"/>
      <c r="B4" s="1231" t="s">
        <v>1668</v>
      </c>
      <c r="C4" s="3055" t="s">
        <v>2922</v>
      </c>
      <c r="D4" s="2009"/>
      <c r="E4" s="1232"/>
      <c r="F4" s="1233" t="s">
        <v>1669</v>
      </c>
      <c r="G4" s="3056" t="s">
        <v>2917</v>
      </c>
      <c r="H4" s="2008"/>
      <c r="I4" s="2008"/>
      <c r="J4" s="2008"/>
      <c r="K4" s="2008"/>
      <c r="L4" s="2008"/>
      <c r="M4" s="2008"/>
      <c r="N4" s="2008"/>
      <c r="O4" s="2008"/>
      <c r="P4" s="2008"/>
      <c r="Q4" s="2008"/>
      <c r="R4" s="2008"/>
    </row>
    <row r="5" spans="1:18" ht="41.25">
      <c r="A5" s="1229"/>
      <c r="B5" s="1231" t="s">
        <v>1670</v>
      </c>
      <c r="C5" s="3055" t="s">
        <v>2923</v>
      </c>
      <c r="D5" s="2009"/>
      <c r="E5" s="1232"/>
      <c r="F5" s="1231" t="s">
        <v>2546</v>
      </c>
      <c r="G5" s="3056" t="s">
        <v>2918</v>
      </c>
      <c r="H5" s="2008"/>
      <c r="I5" s="2008"/>
      <c r="J5" s="2008"/>
      <c r="K5" s="2008"/>
      <c r="L5" s="2008"/>
      <c r="M5" s="2008"/>
      <c r="N5" s="2008"/>
      <c r="O5" s="2008"/>
      <c r="P5" s="2008"/>
      <c r="Q5" s="2008"/>
      <c r="R5" s="2008"/>
    </row>
    <row r="6" spans="1:18" ht="54">
      <c r="A6" s="1229"/>
      <c r="B6" s="1231" t="s">
        <v>1656</v>
      </c>
      <c r="C6" s="3056" t="s">
        <v>2917</v>
      </c>
      <c r="D6" s="2009"/>
      <c r="E6" s="1232"/>
      <c r="F6" s="1231" t="s">
        <v>2547</v>
      </c>
      <c r="G6" s="3056" t="s">
        <v>2915</v>
      </c>
      <c r="H6" s="2008"/>
      <c r="I6" s="2008"/>
      <c r="J6" s="2008"/>
      <c r="K6" s="2008"/>
      <c r="L6" s="2008"/>
      <c r="M6" s="2008"/>
      <c r="N6" s="2008"/>
      <c r="O6" s="2008"/>
      <c r="P6" s="2008"/>
      <c r="Q6" s="2008"/>
      <c r="R6" s="2008"/>
    </row>
    <row r="7" spans="1:18" ht="41.25" thickBot="1">
      <c r="A7" s="1229"/>
      <c r="B7" s="1231" t="s">
        <v>2546</v>
      </c>
      <c r="C7" s="3056" t="s">
        <v>2918</v>
      </c>
      <c r="D7" s="2010"/>
      <c r="E7" s="1234"/>
      <c r="F7" s="1235" t="s">
        <v>1671</v>
      </c>
      <c r="G7" s="3059" t="s">
        <v>2919</v>
      </c>
      <c r="H7" s="2008"/>
      <c r="I7" s="2008"/>
      <c r="J7" s="2008"/>
      <c r="K7" s="2008"/>
      <c r="L7" s="2008"/>
      <c r="M7" s="2008"/>
      <c r="N7" s="2008"/>
      <c r="O7" s="2008"/>
      <c r="P7" s="2008"/>
      <c r="Q7" s="2008"/>
      <c r="R7" s="2008"/>
    </row>
    <row r="8" spans="1:18" ht="27">
      <c r="A8" s="1229"/>
      <c r="B8" s="1231" t="s">
        <v>2547</v>
      </c>
      <c r="C8" s="3056" t="s">
        <v>2915</v>
      </c>
      <c r="D8" s="2010"/>
      <c r="E8" s="2010"/>
      <c r="F8" s="1554"/>
      <c r="G8" s="1554"/>
      <c r="H8" s="2008"/>
      <c r="I8" s="2008"/>
      <c r="J8" s="2008"/>
      <c r="K8" s="2008"/>
      <c r="L8" s="2008"/>
      <c r="M8" s="2008"/>
      <c r="N8" s="2008"/>
      <c r="O8" s="2008"/>
      <c r="P8" s="2008"/>
      <c r="Q8" s="2008"/>
      <c r="R8" s="2008"/>
    </row>
    <row r="9" spans="1:18" ht="40.5">
      <c r="A9" s="1229"/>
      <c r="B9" s="1231" t="s">
        <v>1657</v>
      </c>
      <c r="C9" s="3055"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7"/>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2546</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2547</v>
      </c>
      <c r="G20" s="1005" t="str">
        <f>G6</f>
        <v>估价对象所在区域基础设施水平</v>
      </c>
    </row>
    <row r="21" spans="1:7" ht="27">
      <c r="A21" s="2568"/>
      <c r="B21" s="1231" t="s">
        <v>2546</v>
      </c>
      <c r="C21" s="1005" t="str">
        <f>C7</f>
        <v>估价对象所在区域公共配套设施齐备情况</v>
      </c>
      <c r="D21" s="2009"/>
      <c r="E21" s="2565"/>
      <c r="F21" s="1247" t="s">
        <v>1662</v>
      </c>
      <c r="G21" s="3060"/>
    </row>
    <row r="22" spans="1:7" ht="27">
      <c r="A22" s="2568"/>
      <c r="B22" s="1231" t="s">
        <v>2547</v>
      </c>
      <c r="C22" s="1005" t="str">
        <f>C8</f>
        <v>估价对象所在区域基础设施水平</v>
      </c>
      <c r="D22" s="2009"/>
      <c r="E22" s="2565"/>
      <c r="F22" s="1247" t="s">
        <v>1672</v>
      </c>
      <c r="G22" s="2772"/>
    </row>
    <row r="23" spans="1:7" ht="15" thickBot="1">
      <c r="A23" s="2568"/>
      <c r="B23" s="1247" t="s">
        <v>1662</v>
      </c>
      <c r="C23" s="3060"/>
      <c r="E23" s="2566"/>
      <c r="F23" s="1248" t="s">
        <v>1676</v>
      </c>
      <c r="G23" s="3061"/>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018" t="s">
        <v>2844</v>
      </c>
      <c r="B1" s="3018">
        <f>SUM(B14:B23)</f>
        <v>183164</v>
      </c>
      <c r="C1" s="3019"/>
      <c r="D1" s="3019"/>
      <c r="E1" s="3019"/>
      <c r="F1" s="3019"/>
    </row>
    <row r="2" spans="1:9" ht="16.5">
      <c r="A2" s="3018" t="s">
        <v>2845</v>
      </c>
      <c r="B2" s="3018">
        <f>SUM(C14:C23)</f>
        <v>35517.65</v>
      </c>
      <c r="C2" s="3019"/>
      <c r="D2" s="3019"/>
      <c r="E2" s="3019"/>
      <c r="F2" s="3019"/>
    </row>
    <row r="3" spans="1:9" ht="16.5">
      <c r="A3" s="3018" t="s">
        <v>2846</v>
      </c>
      <c r="B3" s="3020">
        <f>项目基本情况!D3</f>
        <v>43564</v>
      </c>
      <c r="C3" s="3019"/>
      <c r="D3" s="3019"/>
      <c r="E3" s="3019"/>
      <c r="F3" s="3019"/>
    </row>
    <row r="4" spans="1:9" ht="33">
      <c r="A4" s="3018" t="s">
        <v>2847</v>
      </c>
      <c r="B4" s="3018" t="s">
        <v>2848</v>
      </c>
      <c r="C4" s="3018" t="s">
        <v>2849</v>
      </c>
      <c r="D4" s="3018" t="s">
        <v>2850</v>
      </c>
      <c r="E4" s="3019"/>
      <c r="F4" s="3019"/>
    </row>
    <row r="5" spans="1:9" ht="16.5">
      <c r="A5" s="3018" t="s">
        <v>2851</v>
      </c>
      <c r="B5" s="3018">
        <f ca="1">SUM(D14:D23)</f>
        <v>84498</v>
      </c>
      <c r="C5" s="3018">
        <f ca="1">ROUND(B5*10000/$B$1,0)</f>
        <v>4613</v>
      </c>
      <c r="D5" s="3018">
        <f ca="1">ROUND(B5*10000/$B$2,0)</f>
        <v>23790</v>
      </c>
      <c r="E5" s="3019"/>
      <c r="F5" s="3019"/>
    </row>
    <row r="6" spans="1:9" ht="16.5">
      <c r="A6" s="3018" t="s">
        <v>2852</v>
      </c>
      <c r="B6" s="3018">
        <f ca="1">SUM(G14:G23)</f>
        <v>84498</v>
      </c>
      <c r="C6" s="3018">
        <f t="shared" ref="C6:C8" ca="1" si="0">ROUND(B6*10000/$B$1,0)</f>
        <v>4613</v>
      </c>
      <c r="D6" s="3018">
        <f t="shared" ref="D6:D8" ca="1" si="1">ROUND(B6*10000/$B$2,0)</f>
        <v>23790</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183164</v>
      </c>
      <c r="C14" s="3022">
        <f>结果表!K38</f>
        <v>35517.65</v>
      </c>
      <c r="D14" s="3022">
        <f ca="1">结果表!C42</f>
        <v>84498</v>
      </c>
      <c r="E14" s="3022">
        <f ca="1">ROUND(D14*10000/B14,0)</f>
        <v>4613</v>
      </c>
      <c r="F14" s="3022">
        <f ca="1">ROUND(D14*10000/C14,0)</f>
        <v>23790</v>
      </c>
      <c r="G14" s="3022">
        <f ca="1">结果表!C44</f>
        <v>84498</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3057</v>
      </c>
      <c r="E1" s="1805" t="s">
        <v>2058</v>
      </c>
      <c r="F1" s="1807" t="s">
        <v>3058</v>
      </c>
      <c r="G1" s="311"/>
      <c r="H1" s="311"/>
      <c r="I1" s="311"/>
      <c r="J1" s="2029"/>
      <c r="K1" s="2029"/>
      <c r="L1" s="2029"/>
      <c r="M1" s="2029"/>
      <c r="N1" s="2029"/>
      <c r="O1" s="2029"/>
      <c r="P1" s="2029"/>
      <c r="Q1" s="2029"/>
      <c r="R1" s="2029"/>
      <c r="S1" s="2029"/>
      <c r="T1" s="2029"/>
      <c r="U1" s="2029"/>
      <c r="V1" s="2029"/>
    </row>
    <row r="2" spans="1:22" ht="21.75" customHeight="1" thickBot="1">
      <c r="A2" s="3345" t="str">
        <f>项目基本情况!K2</f>
        <v>河南省郑州市金水区普庆路西、三全路南出让国有建设用地使用权</v>
      </c>
      <c r="B2" s="3346"/>
      <c r="C2" s="3347"/>
      <c r="D2" s="3347"/>
      <c r="E2" s="3347"/>
      <c r="F2" s="3347"/>
      <c r="G2" s="3346"/>
      <c r="H2" s="3346"/>
      <c r="I2" s="3348"/>
      <c r="J2" s="2030"/>
      <c r="K2" s="2029"/>
      <c r="L2" s="2029"/>
      <c r="M2" s="2029"/>
      <c r="N2" s="2029"/>
      <c r="O2" s="2029"/>
      <c r="P2" s="2029"/>
      <c r="Q2" s="2029"/>
      <c r="R2" s="2029"/>
      <c r="S2" s="2029"/>
      <c r="T2" s="2029"/>
      <c r="U2" s="2029"/>
      <c r="V2" s="2029"/>
    </row>
    <row r="3" spans="1:22" ht="14.25">
      <c r="A3" s="3356" t="s">
        <v>298</v>
      </c>
      <c r="B3" s="3357"/>
      <c r="C3" s="3357"/>
      <c r="D3" s="3357"/>
      <c r="E3" s="3357"/>
      <c r="F3" s="3357"/>
      <c r="G3" s="3357"/>
      <c r="H3" s="3357"/>
      <c r="I3" s="3357"/>
      <c r="J3" s="2030"/>
      <c r="K3" s="2029"/>
      <c r="L3" s="2029"/>
      <c r="M3" s="2029"/>
      <c r="N3" s="2029"/>
      <c r="O3" s="2029"/>
      <c r="P3" s="2029"/>
      <c r="Q3" s="2029"/>
      <c r="R3" s="2029"/>
      <c r="S3" s="2029"/>
      <c r="T3" s="2029"/>
      <c r="U3" s="2029"/>
      <c r="V3" s="2029"/>
    </row>
    <row r="4" spans="1:22" ht="14.25">
      <c r="A4" s="258" t="s">
        <v>299</v>
      </c>
      <c r="B4" s="259" t="s">
        <v>300</v>
      </c>
      <c r="C4" s="260" t="s">
        <v>3054</v>
      </c>
      <c r="D4" s="260" t="s">
        <v>3055</v>
      </c>
      <c r="E4" s="3320" t="s">
        <v>301</v>
      </c>
      <c r="F4" s="3362"/>
      <c r="G4" s="3362"/>
      <c r="H4" s="3362"/>
      <c r="I4" s="332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9" t="s">
        <v>302</v>
      </c>
      <c r="B5" s="3350">
        <v>25</v>
      </c>
      <c r="C5" s="3358"/>
      <c r="D5" s="3361"/>
      <c r="E5" s="261" t="s">
        <v>303</v>
      </c>
      <c r="F5" s="262"/>
      <c r="G5" s="262"/>
      <c r="H5" s="262"/>
      <c r="I5" s="263"/>
      <c r="J5" s="2030"/>
      <c r="K5" s="2029"/>
      <c r="L5" s="2029"/>
      <c r="M5" s="2029"/>
      <c r="N5" s="2029"/>
      <c r="O5" s="2029"/>
      <c r="P5" s="2029"/>
      <c r="Q5" s="2029"/>
      <c r="R5" s="2029"/>
      <c r="S5" s="2029"/>
      <c r="T5" s="2029"/>
      <c r="U5" s="2029"/>
      <c r="V5" s="2029"/>
    </row>
    <row r="6" spans="1:22" ht="14.25">
      <c r="A6" s="3349"/>
      <c r="B6" s="3350"/>
      <c r="C6" s="3359"/>
      <c r="D6" s="3361"/>
      <c r="E6" s="261" t="s">
        <v>304</v>
      </c>
      <c r="F6" s="262"/>
      <c r="G6" s="262"/>
      <c r="H6" s="262"/>
      <c r="I6" s="263"/>
      <c r="J6" s="2030"/>
      <c r="K6" s="2029"/>
      <c r="L6" s="2029"/>
      <c r="M6" s="2029"/>
      <c r="N6" s="2029"/>
      <c r="O6" s="2029"/>
      <c r="P6" s="2029"/>
      <c r="Q6" s="2029"/>
      <c r="R6" s="2029"/>
      <c r="S6" s="2029"/>
      <c r="T6" s="2029"/>
      <c r="U6" s="2029"/>
      <c r="V6" s="2029"/>
    </row>
    <row r="7" spans="1:22" ht="14.25">
      <c r="A7" s="3349"/>
      <c r="B7" s="3350"/>
      <c r="C7" s="3360"/>
      <c r="D7" s="3361"/>
      <c r="E7" s="261" t="s">
        <v>305</v>
      </c>
      <c r="F7" s="262"/>
      <c r="G7" s="262"/>
      <c r="H7" s="262"/>
      <c r="I7" s="263"/>
      <c r="J7" s="2030"/>
      <c r="K7" s="2029"/>
      <c r="L7" s="2029"/>
      <c r="M7" s="2029"/>
      <c r="N7" s="2029"/>
      <c r="O7" s="2029"/>
      <c r="P7" s="2029"/>
      <c r="Q7" s="2029"/>
      <c r="R7" s="2029"/>
      <c r="S7" s="2029"/>
      <c r="T7" s="2029"/>
      <c r="U7" s="2029"/>
      <c r="V7" s="2029"/>
    </row>
    <row r="8" spans="1:22" ht="14.25">
      <c r="A8" s="3349" t="s">
        <v>306</v>
      </c>
      <c r="B8" s="3350">
        <v>15</v>
      </c>
      <c r="C8" s="3358"/>
      <c r="D8" s="3361"/>
      <c r="E8" s="261" t="s">
        <v>307</v>
      </c>
      <c r="F8" s="262"/>
      <c r="G8" s="262"/>
      <c r="H8" s="262"/>
      <c r="I8" s="263"/>
      <c r="J8" s="2030"/>
      <c r="K8" s="2029"/>
      <c r="L8" s="2029"/>
      <c r="M8" s="2029"/>
      <c r="N8" s="2029"/>
      <c r="O8" s="2029"/>
      <c r="P8" s="2029"/>
      <c r="Q8" s="2029"/>
      <c r="R8" s="2029"/>
      <c r="S8" s="2029"/>
      <c r="T8" s="2029"/>
      <c r="U8" s="2029"/>
      <c r="V8" s="2029"/>
    </row>
    <row r="9" spans="1:22" ht="14.25">
      <c r="A9" s="3349"/>
      <c r="B9" s="3350"/>
      <c r="C9" s="3360"/>
      <c r="D9" s="3361"/>
      <c r="E9" s="261" t="s">
        <v>308</v>
      </c>
      <c r="F9" s="262"/>
      <c r="G9" s="262"/>
      <c r="H9" s="262"/>
      <c r="I9" s="263"/>
      <c r="J9" s="2030"/>
      <c r="K9" s="2029"/>
      <c r="L9" s="2029"/>
      <c r="M9" s="2029"/>
      <c r="N9" s="2029"/>
      <c r="O9" s="2029"/>
      <c r="P9" s="2029"/>
      <c r="Q9" s="2029"/>
      <c r="R9" s="2029"/>
      <c r="S9" s="2029"/>
      <c r="T9" s="2029"/>
      <c r="U9" s="2029"/>
      <c r="V9" s="2029"/>
    </row>
    <row r="10" spans="1:22" ht="14.25">
      <c r="A10" s="3349" t="s">
        <v>309</v>
      </c>
      <c r="B10" s="3350">
        <v>15</v>
      </c>
      <c r="C10" s="3358"/>
      <c r="D10" s="336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9"/>
      <c r="B11" s="3350"/>
      <c r="C11" s="3360"/>
      <c r="D11" s="336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9" t="s">
        <v>312</v>
      </c>
      <c r="B12" s="3350">
        <v>15</v>
      </c>
      <c r="C12" s="3358"/>
      <c r="D12" s="336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9"/>
      <c r="B13" s="3350"/>
      <c r="C13" s="3360"/>
      <c r="D13" s="336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9" t="s">
        <v>315</v>
      </c>
      <c r="B14" s="3350">
        <v>30</v>
      </c>
      <c r="C14" s="3358">
        <v>5</v>
      </c>
      <c r="D14" s="3361">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9"/>
      <c r="B15" s="3350"/>
      <c r="C15" s="3359"/>
      <c r="D15" s="336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9"/>
      <c r="B16" s="3350"/>
      <c r="C16" s="3360"/>
      <c r="D16" s="336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78350</v>
      </c>
      <c r="D19" s="271">
        <f ca="1">SUMIF(INDIRECT("'"&amp;D4&amp;"'"&amp;"!A:A"),结果表!B19,INDIRECT("'"&amp;D4&amp;"'"&amp;"!B:B"))</f>
        <v>90646</v>
      </c>
      <c r="E19" s="268" t="s">
        <v>323</v>
      </c>
      <c r="F19" s="269" t="s">
        <v>322</v>
      </c>
      <c r="G19" s="272">
        <f ca="1">ROUND(C19*$C$18+D19*$D$18,0)</f>
        <v>84498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4278</v>
      </c>
      <c r="D20" s="277">
        <f ca="1">SUMIF(INDIRECT("'"&amp;D4&amp;"'"&amp;"!A:A"),结果表!B20,INDIRECT("'"&amp;D4&amp;"'"&amp;"!B:B"))</f>
        <v>4949</v>
      </c>
      <c r="E20" s="274"/>
      <c r="F20" s="275" t="s">
        <v>325</v>
      </c>
      <c r="G20" s="278">
        <f ca="1">ROUND(C20*$C$18+D20*$D$18,0)</f>
        <v>4614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22059</v>
      </c>
      <c r="D21" s="151">
        <f ca="1">SUMIF(INDIRECT("'"&amp;D4&amp;"'"&amp;"!A:A"),结果表!B21,INDIRECT("'"&amp;D4&amp;"'"&amp;"!B:B"))</f>
        <v>25521</v>
      </c>
      <c r="E21" s="274"/>
      <c r="F21" s="280" t="s">
        <v>327</v>
      </c>
      <c r="G21" s="282">
        <f ca="1">ROUND(C21*$C$18+D21*$D$18,0)</f>
        <v>23790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0.15693682195277603</v>
      </c>
      <c r="E22" s="284"/>
      <c r="F22" s="285"/>
      <c r="G22" s="286">
        <f ca="1">ROUND(G19/('数据-汇总表'!D3/666.67),0)</f>
        <v>1586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4"/>
      <c r="B25" s="1321" t="s">
        <v>331</v>
      </c>
      <c r="C25" s="290">
        <f>IF(B30=0,0,C30)</f>
        <v>0</v>
      </c>
      <c r="D25" s="291"/>
      <c r="E25" s="311"/>
      <c r="F25" s="311"/>
      <c r="G25" s="311"/>
      <c r="H25" s="311"/>
      <c r="I25" s="311"/>
      <c r="J25" s="2029"/>
      <c r="K25" s="1255" t="str">
        <f ca="1">项目基本情况!B16&amp;"国有建设用地使用权价格："&amp;O38&amp;"万元"</f>
        <v>出让国有建设用地使用权价格：84498万元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大写金额：人民币捌亿肆仟肆佰玖拾捌万元整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单位面积地价：23790元/平方米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楼面地价：4613元/平方米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抵押价格：84498万元</v>
      </c>
      <c r="L29" s="1252"/>
      <c r="M29" s="1252"/>
      <c r="N29" s="1252"/>
      <c r="O29" s="1251"/>
      <c r="P29" s="2029"/>
      <c r="V29" s="2029"/>
    </row>
    <row r="30" spans="1:26" ht="18.75" thickBot="1">
      <c r="A30" s="3103" t="s">
        <v>336</v>
      </c>
      <c r="B30" s="309"/>
      <c r="C30" s="309"/>
      <c r="D30" s="310"/>
      <c r="E30" s="3104" t="s">
        <v>2970</v>
      </c>
      <c r="F30" s="311"/>
      <c r="G30" s="311"/>
      <c r="H30" s="311"/>
      <c r="I30" s="311"/>
      <c r="J30" s="2029"/>
      <c r="K30" s="1258" t="str">
        <f ca="1">IF(K29="——","——","大写金额：人民币"&amp;NUMBERSTRING(INT(O39*10000),2)&amp;"元整")</f>
        <v>大写金额：人民币捌亿肆仟肆佰玖拾捌万元整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84498</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4613</v>
      </c>
      <c r="D33" s="1386" t="s">
        <v>1692</v>
      </c>
      <c r="E33" s="332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23790</v>
      </c>
      <c r="D34" s="1388" t="s">
        <v>1692</v>
      </c>
      <c r="E34" s="332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1586</v>
      </c>
      <c r="D35" s="1391" t="s">
        <v>1694</v>
      </c>
      <c r="E35" s="3324"/>
      <c r="F35" s="301" t="s">
        <v>342</v>
      </c>
      <c r="G35" s="982"/>
      <c r="H35" s="981" t="s">
        <v>343</v>
      </c>
      <c r="I35" s="311"/>
      <c r="J35" s="2029"/>
      <c r="K35" s="3328" t="s">
        <v>350</v>
      </c>
      <c r="L35" s="3328" t="s">
        <v>351</v>
      </c>
      <c r="M35" s="1264" t="s">
        <v>352</v>
      </c>
      <c r="N35" s="3328" t="s">
        <v>353</v>
      </c>
      <c r="O35" s="3328" t="s">
        <v>354</v>
      </c>
      <c r="P35" s="2029"/>
      <c r="V35" s="2029"/>
    </row>
    <row r="36" spans="1:26" ht="16.5" customHeight="1">
      <c r="A36" s="303" t="s">
        <v>344</v>
      </c>
      <c r="B36" s="304" t="s">
        <v>333</v>
      </c>
      <c r="C36" s="305" t="s">
        <v>345</v>
      </c>
      <c r="D36" s="305" t="s">
        <v>346</v>
      </c>
      <c r="E36" s="306" t="s">
        <v>347</v>
      </c>
      <c r="F36" s="311"/>
      <c r="G36" s="311"/>
      <c r="H36" s="311"/>
      <c r="I36" s="311"/>
      <c r="J36" s="2031"/>
      <c r="K36" s="3329"/>
      <c r="L36" s="3329"/>
      <c r="M36" s="1266" t="s">
        <v>355</v>
      </c>
      <c r="N36" s="3329"/>
      <c r="O36" s="3329"/>
      <c r="P36" s="2029"/>
      <c r="V36" s="2029"/>
    </row>
    <row r="37" spans="1:26" ht="16.5" customHeight="1" thickBot="1">
      <c r="A37" s="1260" t="s">
        <v>348</v>
      </c>
      <c r="B37" s="307"/>
      <c r="C37" s="294"/>
      <c r="D37" s="294"/>
      <c r="E37" s="295"/>
      <c r="F37" s="311"/>
      <c r="G37" s="311"/>
      <c r="H37" s="311"/>
      <c r="I37" s="311"/>
      <c r="J37" s="2031"/>
      <c r="K37" s="3330"/>
      <c r="L37" s="3330"/>
      <c r="M37" s="1267"/>
      <c r="N37" s="3330"/>
      <c r="O37" s="3330"/>
      <c r="P37" s="2029"/>
      <c r="V37" s="2029"/>
    </row>
    <row r="38" spans="1:26" ht="16.5" customHeight="1" thickBot="1">
      <c r="A38" s="1260" t="s">
        <v>349</v>
      </c>
      <c r="B38" s="307"/>
      <c r="C38" s="294"/>
      <c r="D38" s="294"/>
      <c r="E38" s="295"/>
      <c r="F38" s="311"/>
      <c r="G38" s="311"/>
      <c r="H38" s="311"/>
      <c r="I38" s="311"/>
      <c r="J38" s="2031"/>
      <c r="K38" s="1268">
        <f>'数据-汇总表'!D3</f>
        <v>35517.65</v>
      </c>
      <c r="L38" s="1269">
        <f>'数据-汇总表'!E3</f>
        <v>183164</v>
      </c>
      <c r="M38" s="1269">
        <f ca="1">C34</f>
        <v>23790</v>
      </c>
      <c r="N38" s="1269">
        <f ca="1">C33</f>
        <v>4613</v>
      </c>
      <c r="O38" s="1270">
        <f ca="1">C32</f>
        <v>84498</v>
      </c>
      <c r="P38" s="2029"/>
      <c r="V38" s="2029"/>
    </row>
    <row r="39" spans="1:26" ht="16.5" customHeight="1" thickBot="1">
      <c r="A39" s="1265"/>
      <c r="B39" s="308"/>
      <c r="C39" s="309"/>
      <c r="D39" s="309"/>
      <c r="E39" s="310"/>
      <c r="F39" s="311"/>
      <c r="G39" s="311"/>
      <c r="H39" s="311"/>
      <c r="I39" s="311"/>
      <c r="J39" s="2031"/>
      <c r="K39" s="3305" t="str">
        <f>MID(A44,3,LEN(A44)-2)</f>
        <v>抵押价格</v>
      </c>
      <c r="L39" s="3306"/>
      <c r="M39" s="3306"/>
      <c r="N39" s="3307"/>
      <c r="O39" s="1393">
        <f ca="1">C44</f>
        <v>84498</v>
      </c>
      <c r="P39" s="2029"/>
      <c r="V39" s="2029"/>
    </row>
    <row r="40" spans="1:26" ht="19.5" thickBot="1">
      <c r="A40" s="104" t="s">
        <v>873</v>
      </c>
      <c r="B40" s="311"/>
      <c r="C40" s="311"/>
      <c r="D40" s="311"/>
      <c r="E40" s="311"/>
      <c r="F40" s="311"/>
      <c r="G40" s="311"/>
      <c r="H40" s="311"/>
      <c r="I40" s="311"/>
      <c r="J40" s="2031"/>
      <c r="K40" s="3305" t="str">
        <f t="shared" ref="K40:K41" si="0">MID(A45,3,LEN(A45)-2)</f>
        <v/>
      </c>
      <c r="L40" s="3306"/>
      <c r="M40" s="3306"/>
      <c r="N40" s="330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05" t="str">
        <f t="shared" si="0"/>
        <v/>
      </c>
      <c r="L41" s="3306"/>
      <c r="M41" s="3306"/>
      <c r="N41" s="3307"/>
      <c r="O41" s="1393" t="str">
        <f>C46</f>
        <v>——</v>
      </c>
      <c r="P41" s="2029"/>
      <c r="V41" s="2029"/>
    </row>
    <row r="42" spans="1:26" ht="29.25">
      <c r="A42" s="3365" t="s">
        <v>2068</v>
      </c>
      <c r="B42" s="3366"/>
      <c r="C42" s="264">
        <f ca="1">C32</f>
        <v>84498</v>
      </c>
      <c r="D42" s="317">
        <f ca="1">C33</f>
        <v>4613</v>
      </c>
      <c r="E42" s="317">
        <f ca="1">C34</f>
        <v>23790</v>
      </c>
      <c r="F42" s="318">
        <f ca="1">C35</f>
        <v>1586</v>
      </c>
      <c r="G42" s="311"/>
      <c r="H42" s="311"/>
      <c r="I42" s="319"/>
      <c r="J42" s="2031"/>
      <c r="K42" s="1271" t="s">
        <v>361</v>
      </c>
      <c r="L42" s="2048" t="s">
        <v>362</v>
      </c>
      <c r="M42" s="1272" t="s">
        <v>363</v>
      </c>
      <c r="N42" s="2049" t="s">
        <v>364</v>
      </c>
      <c r="O42" s="2050" t="s">
        <v>365</v>
      </c>
      <c r="P42" s="2029"/>
      <c r="V42" s="2029"/>
    </row>
    <row r="43" spans="1:26" ht="30">
      <c r="A43" s="3375" t="s">
        <v>2730</v>
      </c>
      <c r="B43" s="3376"/>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78350</v>
      </c>
      <c r="M43" s="1275">
        <f>C18</f>
        <v>0.5</v>
      </c>
      <c r="N43" s="1276">
        <f ca="1">IF(N42="测算结果/万元",G19,G20)</f>
        <v>84498</v>
      </c>
      <c r="O43" s="1277">
        <f ca="1">IF(O42="最终结果/万元",C32,C33)</f>
        <v>84498</v>
      </c>
      <c r="P43" s="2029"/>
      <c r="V43" s="2029"/>
    </row>
    <row r="44" spans="1:26" ht="30.75" thickBot="1">
      <c r="A44" s="3365" t="str">
        <f>IF(OR(项目基本情况!E8="抵押价格",项目基本情况!E8="已注销及未注销"),"3.抵押价格","——")</f>
        <v>3.抵押价格</v>
      </c>
      <c r="B44" s="3366"/>
      <c r="C44" s="264">
        <f ca="1">IF(A44="——","——",C42-C43)</f>
        <v>84498</v>
      </c>
      <c r="D44" s="317">
        <f ca="1">ROUND(C44*10000/'数据-汇总表'!E3,0)</f>
        <v>4613</v>
      </c>
      <c r="E44" s="317">
        <f ca="1">ROUND(C44*10000/'数据-汇总表'!D3,0)</f>
        <v>23790</v>
      </c>
      <c r="F44" s="318">
        <f ca="1">ROUND(C44/('数据-汇总表'!D3/666.67),0)</f>
        <v>1586</v>
      </c>
      <c r="G44" s="311"/>
      <c r="H44" s="311"/>
      <c r="I44" s="319"/>
      <c r="J44" s="2031"/>
      <c r="K44" s="1278" t="str">
        <f>D4</f>
        <v>剩余法-待开发</v>
      </c>
      <c r="L44" s="1279">
        <f ca="1">IF(L42="估价结果/万元",D19,D20)</f>
        <v>90646</v>
      </c>
      <c r="M44" s="1280">
        <f>D18</f>
        <v>0.5</v>
      </c>
      <c r="N44" s="1281"/>
      <c r="O44" s="1282"/>
      <c r="P44" s="2029"/>
      <c r="V44" s="2029"/>
    </row>
    <row r="45" spans="1:26" ht="15">
      <c r="A45" s="3370" t="str">
        <f>IF(项目基本情况!E8="已注销及未注销","4.抵押担保权已注销时的抵押价格",IF(项目基本情况!E8="已注销","3.抵押担保权已注销时的抵押价格","——"))</f>
        <v>——</v>
      </c>
      <c r="B45" s="337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3" t="s">
        <v>374</v>
      </c>
      <c r="B63" s="3334"/>
      <c r="C63" s="3335"/>
      <c r="D63" s="341">
        <f ca="1">ROUND(C42*F63,0)</f>
        <v>84498</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72" t="s">
        <v>378</v>
      </c>
      <c r="B64" s="3373"/>
      <c r="C64" s="3373"/>
      <c r="D64" s="3373"/>
      <c r="E64" s="3373"/>
      <c r="F64" s="3373"/>
      <c r="G64" s="337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9" t="s">
        <v>386</v>
      </c>
      <c r="B66" s="3340"/>
      <c r="C66" s="3340"/>
      <c r="D66" s="261">
        <f ca="1">IF(H66="情况1",0,IF(H66="情况2",D70,IF(H66="情况3",D71,IF(H66="情况4",D72))))</f>
        <v>4507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9" t="s">
        <v>385</v>
      </c>
      <c r="M66" s="3310"/>
      <c r="N66" s="2438"/>
      <c r="O66" s="2439"/>
      <c r="P66" s="2440"/>
      <c r="Q66" s="2029"/>
      <c r="R66" s="2029"/>
      <c r="S66" s="2029"/>
      <c r="T66" s="2029"/>
      <c r="U66" s="2029"/>
      <c r="V66" s="2029"/>
    </row>
    <row r="67" spans="1:22" ht="25.5" customHeight="1">
      <c r="A67" s="352" t="s">
        <v>390</v>
      </c>
      <c r="B67" s="3352" t="s">
        <v>391</v>
      </c>
      <c r="C67" s="3352"/>
      <c r="D67" s="353">
        <v>0</v>
      </c>
      <c r="E67" s="41" t="s">
        <v>392</v>
      </c>
      <c r="F67" s="62" t="s">
        <v>21</v>
      </c>
      <c r="G67" s="3336"/>
      <c r="H67" s="311"/>
      <c r="I67" s="1292"/>
      <c r="J67" s="2036"/>
      <c r="K67" s="1977">
        <v>2</v>
      </c>
      <c r="L67" s="3308" t="s">
        <v>389</v>
      </c>
      <c r="M67" s="3308"/>
      <c r="N67" s="1325">
        <f>'数据-取费表'!B2</f>
        <v>43564</v>
      </c>
      <c r="O67" s="1325"/>
      <c r="P67" s="1325"/>
      <c r="Q67" s="2029"/>
      <c r="R67" s="2029"/>
      <c r="S67" s="2029"/>
      <c r="T67" s="2029"/>
      <c r="U67" s="2029"/>
      <c r="V67" s="2029"/>
    </row>
    <row r="68" spans="1:22" ht="25.5" customHeight="1">
      <c r="A68" s="354"/>
      <c r="B68" s="3352" t="s">
        <v>394</v>
      </c>
      <c r="C68" s="3352"/>
      <c r="D68" s="355"/>
      <c r="E68" s="77"/>
      <c r="F68" s="356"/>
      <c r="G68" s="3337"/>
      <c r="H68" s="311"/>
      <c r="I68" s="1292"/>
      <c r="J68" s="2036"/>
      <c r="K68" s="1977">
        <v>3</v>
      </c>
      <c r="L68" s="3308" t="s">
        <v>393</v>
      </c>
      <c r="M68" s="3308"/>
      <c r="N68" s="1293">
        <f ca="1">C42</f>
        <v>84498</v>
      </c>
      <c r="O68" s="1293"/>
      <c r="P68" s="1293"/>
      <c r="Q68" s="2029"/>
      <c r="R68" s="2029"/>
      <c r="S68" s="2029"/>
      <c r="T68" s="2029"/>
      <c r="U68" s="2029"/>
      <c r="V68" s="2029"/>
    </row>
    <row r="69" spans="1:22" ht="12" customHeight="1">
      <c r="A69" s="357"/>
      <c r="B69" s="3352" t="s">
        <v>395</v>
      </c>
      <c r="C69" s="3352"/>
      <c r="D69" s="358"/>
      <c r="E69" s="73"/>
      <c r="F69" s="356"/>
      <c r="G69" s="3338"/>
      <c r="H69" s="311"/>
      <c r="I69" s="1292"/>
      <c r="J69" s="2036"/>
      <c r="K69" s="1294">
        <v>4</v>
      </c>
      <c r="L69" s="3314" t="s">
        <v>2883</v>
      </c>
      <c r="M69" s="3315"/>
      <c r="N69" s="1295">
        <f ca="1">C44</f>
        <v>84498</v>
      </c>
      <c r="O69" s="1295"/>
      <c r="P69" s="1295"/>
      <c r="Q69" s="2029"/>
      <c r="R69" s="2029"/>
      <c r="S69" s="2029"/>
      <c r="T69" s="2029"/>
      <c r="U69" s="2029"/>
      <c r="V69" s="2029"/>
    </row>
    <row r="70" spans="1:22" ht="24" customHeight="1">
      <c r="A70" s="359" t="s">
        <v>396</v>
      </c>
      <c r="B70" s="3352" t="s">
        <v>397</v>
      </c>
      <c r="C70" s="3352"/>
      <c r="D70" s="358">
        <f ca="1">ROUND(D63*'数据-取费表'!B41/(1+'数据-取费表'!C42),0)</f>
        <v>4507</v>
      </c>
      <c r="E70" s="17" t="s">
        <v>398</v>
      </c>
      <c r="F70" s="360">
        <f>'数据-取费表'!B41</f>
        <v>5.6000000000000001E-2</v>
      </c>
      <c r="G70" s="361"/>
      <c r="H70" s="311"/>
      <c r="I70" s="1292"/>
      <c r="J70" s="2036"/>
      <c r="K70" s="3035"/>
      <c r="L70" s="3036"/>
      <c r="M70" s="3036"/>
      <c r="N70" s="3037" t="s">
        <v>2887</v>
      </c>
      <c r="O70" s="3036"/>
      <c r="P70" s="3038"/>
      <c r="Q70" s="2029"/>
      <c r="R70" s="2029"/>
      <c r="S70" s="2029"/>
      <c r="T70" s="2029"/>
      <c r="U70" s="2029"/>
      <c r="V70" s="2029"/>
    </row>
    <row r="71" spans="1:22" ht="12" customHeight="1">
      <c r="A71" s="359" t="s">
        <v>404</v>
      </c>
      <c r="B71" s="3351" t="s">
        <v>405</v>
      </c>
      <c r="C71" s="3363"/>
      <c r="D71" s="358">
        <f ca="1">ROUND(D63*'数据-取费表'!B41/(1+'数据-取费表'!C42),0)</f>
        <v>4507</v>
      </c>
      <c r="E71" s="17" t="s">
        <v>398</v>
      </c>
      <c r="F71" s="360">
        <f>'数据-取费表'!B41</f>
        <v>5.6000000000000001E-2</v>
      </c>
      <c r="G71" s="361"/>
      <c r="H71" s="311"/>
      <c r="I71" s="1292"/>
      <c r="J71" s="2036"/>
      <c r="K71" s="3034" t="s">
        <v>399</v>
      </c>
      <c r="L71" s="3316" t="s">
        <v>400</v>
      </c>
      <c r="M71" s="3316"/>
      <c r="N71" s="3034" t="s">
        <v>401</v>
      </c>
      <c r="O71" s="3034" t="s">
        <v>402</v>
      </c>
      <c r="P71" s="3034" t="s">
        <v>403</v>
      </c>
      <c r="Q71" s="2029"/>
      <c r="R71" s="2029"/>
      <c r="S71" s="2029"/>
      <c r="T71" s="2029"/>
      <c r="U71" s="2029"/>
      <c r="V71" s="2029"/>
    </row>
    <row r="72" spans="1:22" ht="12" customHeight="1">
      <c r="A72" s="359" t="s">
        <v>407</v>
      </c>
      <c r="B72" s="3351" t="s">
        <v>408</v>
      </c>
      <c r="C72" s="3363"/>
      <c r="D72" s="358">
        <f ca="1">C86</f>
        <v>4395</v>
      </c>
      <c r="E72" s="73" t="s">
        <v>409</v>
      </c>
      <c r="F72" s="360">
        <f>'数据-取费表'!B41</f>
        <v>5.6000000000000001E-2</v>
      </c>
      <c r="G72" s="361"/>
      <c r="H72" s="1298"/>
      <c r="I72" s="1292"/>
      <c r="J72" s="2036"/>
      <c r="K72" s="1977">
        <v>1</v>
      </c>
      <c r="L72" s="3313" t="s">
        <v>406</v>
      </c>
      <c r="M72" s="3313"/>
      <c r="N72" s="1296">
        <f ca="1">D66</f>
        <v>4507</v>
      </c>
      <c r="O72" s="1860" t="str">
        <f>E66</f>
        <v>销售额×税（费）率</v>
      </c>
      <c r="P72" s="1297">
        <f>F66</f>
        <v>5.6000000000000001E-2</v>
      </c>
      <c r="Q72" s="2029"/>
      <c r="R72" s="2029"/>
      <c r="S72" s="2029"/>
      <c r="T72" s="2029"/>
      <c r="U72" s="2029"/>
      <c r="V72" s="2029"/>
    </row>
    <row r="73" spans="1:22" ht="24" customHeight="1">
      <c r="A73" s="3339" t="s">
        <v>411</v>
      </c>
      <c r="B73" s="3340"/>
      <c r="C73" s="3340"/>
      <c r="D73" s="362">
        <f ca="1">IF(H73="个人住宅",0,ROUND(D63*I73,0))</f>
        <v>42</v>
      </c>
      <c r="E73" s="17" t="s">
        <v>412</v>
      </c>
      <c r="F73" s="360">
        <f>IF(H73="正常",I73,"免征")</f>
        <v>5.0000000000000001E-4</v>
      </c>
      <c r="G73" s="361"/>
      <c r="H73" s="191" t="s">
        <v>3059</v>
      </c>
      <c r="I73" s="360">
        <f>'数据-取费表'!B49</f>
        <v>5.0000000000000001E-4</v>
      </c>
      <c r="J73" s="2036"/>
      <c r="K73" s="1977">
        <v>2</v>
      </c>
      <c r="L73" s="3313" t="s">
        <v>410</v>
      </c>
      <c r="M73" s="3313"/>
      <c r="N73" s="1296">
        <f t="shared" ref="N73:P74" ca="1" si="1">D73</f>
        <v>42</v>
      </c>
      <c r="O73" s="1860" t="str">
        <f t="shared" si="1"/>
        <v>销售额×税（费）率</v>
      </c>
      <c r="P73" s="1297">
        <f t="shared" si="1"/>
        <v>5.0000000000000001E-4</v>
      </c>
      <c r="Q73" s="2029"/>
      <c r="R73" s="2029"/>
      <c r="S73" s="2029"/>
      <c r="T73" s="2029"/>
      <c r="U73" s="2029"/>
      <c r="V73" s="2029"/>
    </row>
    <row r="74" spans="1:22" ht="24.75">
      <c r="A74" s="3339" t="s">
        <v>415</v>
      </c>
      <c r="B74" s="3340"/>
      <c r="C74" s="3340"/>
      <c r="D74" s="362">
        <f ca="1">IF(H74="个人住宅",D75,D76)</f>
        <v>34342</v>
      </c>
      <c r="E74" s="17" t="s">
        <v>416</v>
      </c>
      <c r="F74" s="360" t="str">
        <f>IF(H74="正常",F76,"免征")</f>
        <v>——</v>
      </c>
      <c r="G74" s="983" t="s">
        <v>417</v>
      </c>
      <c r="H74" s="363" t="s">
        <v>413</v>
      </c>
      <c r="I74" s="42"/>
      <c r="J74" s="2036"/>
      <c r="K74" s="1977">
        <v>3</v>
      </c>
      <c r="L74" s="3313" t="s">
        <v>414</v>
      </c>
      <c r="M74" s="3313"/>
      <c r="N74" s="1296">
        <f t="shared" ca="1" si="1"/>
        <v>34342</v>
      </c>
      <c r="O74" s="1860" t="str">
        <f t="shared" si="1"/>
        <v>增值额×税（费）率</v>
      </c>
      <c r="P74" s="1299" t="str">
        <f t="shared" si="1"/>
        <v>——</v>
      </c>
      <c r="Q74" s="2029"/>
      <c r="R74" s="2029"/>
      <c r="S74" s="2029"/>
      <c r="T74" s="2029"/>
      <c r="U74" s="2029"/>
      <c r="V74" s="2029"/>
    </row>
    <row r="75" spans="1:22" ht="12.75">
      <c r="A75" s="359" t="s">
        <v>418</v>
      </c>
      <c r="B75" s="3320" t="s">
        <v>419</v>
      </c>
      <c r="C75" s="3321"/>
      <c r="D75" s="364">
        <v>0</v>
      </c>
      <c r="E75" s="41" t="s">
        <v>420</v>
      </c>
      <c r="F75" s="365"/>
      <c r="G75" s="361"/>
      <c r="H75" s="42"/>
      <c r="I75" s="42"/>
      <c r="J75" s="2036"/>
      <c r="K75" s="3027" t="str">
        <f>IF(H77="非个人房产","",4)</f>
        <v/>
      </c>
      <c r="L75" s="3313" t="str">
        <f>IF(H77="非个人房产","——","个人所得税")</f>
        <v>——</v>
      </c>
      <c r="M75" s="3313"/>
      <c r="N75" s="1300" t="str">
        <f>D77</f>
        <v>——</v>
      </c>
      <c r="O75" s="1873" t="str">
        <f>E77</f>
        <v>——</v>
      </c>
      <c r="P75" s="1301" t="str">
        <f>F77</f>
        <v>——</v>
      </c>
      <c r="Q75" s="2029"/>
      <c r="R75" s="2029"/>
      <c r="S75" s="2029"/>
      <c r="T75" s="2029"/>
      <c r="U75" s="2029"/>
      <c r="V75" s="2029"/>
    </row>
    <row r="76" spans="1:22" ht="24.75">
      <c r="A76" s="359" t="s">
        <v>396</v>
      </c>
      <c r="B76" s="3320" t="s">
        <v>422</v>
      </c>
      <c r="C76" s="3362"/>
      <c r="D76" s="362">
        <f ca="1">IF(H76="转让取得",C99,C115)</f>
        <v>34342</v>
      </c>
      <c r="E76" s="17" t="s">
        <v>423</v>
      </c>
      <c r="F76" s="53" t="s">
        <v>21</v>
      </c>
      <c r="G76" s="361"/>
      <c r="H76" s="363" t="s">
        <v>424</v>
      </c>
      <c r="I76" s="42"/>
      <c r="J76" s="2036"/>
      <c r="K76" s="3027" t="str">
        <f>IF(项目基本情况!K6="上海银行",IF(K75="",4,K75+1),"")</f>
        <v/>
      </c>
      <c r="L76" s="3301" t="str">
        <f>IF(项目基本情况!K6="上海银行","其他处置费用","")</f>
        <v/>
      </c>
      <c r="M76" s="3302"/>
      <c r="N76" s="1296" t="str">
        <f>IF(项目基本情况!K6="上海银行",N89,"")</f>
        <v/>
      </c>
      <c r="O76" s="3303" t="str">
        <f>IF(项目基本情况!K6="上海银行","包含处置中涉及的律师、诉讼、拍卖、评估等费用","")</f>
        <v/>
      </c>
      <c r="P76" s="3304"/>
      <c r="Q76" s="2029"/>
      <c r="R76" s="2029"/>
      <c r="S76" s="2029"/>
      <c r="T76" s="2029"/>
      <c r="U76" s="2029"/>
      <c r="V76" s="2029"/>
    </row>
    <row r="77" spans="1:22" ht="24.75" thickBot="1">
      <c r="A77" s="3331" t="s">
        <v>426</v>
      </c>
      <c r="B77" s="3332"/>
      <c r="C77" s="3332"/>
      <c r="D77" s="366" t="str">
        <f>IF(H77="非个人房产","——",IF(H77="个人住宅",0,ROUND(D63*I77,0)))</f>
        <v>——</v>
      </c>
      <c r="E77" s="367" t="str">
        <f>IF(H77="非个人房产","——","销售额×税（费）率")</f>
        <v>——</v>
      </c>
      <c r="F77" s="368" t="str">
        <f>IF(H77="非个人房产","——",IF(H77="个人住宅","免征",I77))</f>
        <v>——</v>
      </c>
      <c r="G77" s="984" t="s">
        <v>417</v>
      </c>
      <c r="H77" s="363" t="s">
        <v>3060</v>
      </c>
      <c r="I77" s="369">
        <v>0.01</v>
      </c>
      <c r="J77" s="2036"/>
      <c r="K77" s="3327">
        <f>IF(AND(K75="",K76=""),4,IF(项目基本情况!K6="上海银行",K76+1,K75+1))</f>
        <v>4</v>
      </c>
      <c r="L77" s="3313" t="s">
        <v>2884</v>
      </c>
      <c r="M77" s="3033" t="s">
        <v>421</v>
      </c>
      <c r="N77" s="1302"/>
      <c r="O77" s="1303">
        <f ca="1">SUMIF(N72:N76,"&lt;9e307")</f>
        <v>38891</v>
      </c>
      <c r="P77" s="1304"/>
      <c r="Q77" s="3031">
        <f ca="1">O77/N69</f>
        <v>0.46025941442401003</v>
      </c>
      <c r="R77" s="2029"/>
      <c r="S77" s="2029"/>
      <c r="T77" s="2029"/>
      <c r="U77" s="2029"/>
      <c r="V77" s="2029"/>
    </row>
    <row r="78" spans="1:22" ht="12" customHeight="1">
      <c r="A78" s="1305"/>
      <c r="B78" s="311"/>
      <c r="C78" s="311"/>
      <c r="D78" s="311"/>
      <c r="E78" s="42"/>
      <c r="F78" s="42"/>
      <c r="G78" s="42"/>
      <c r="H78" s="1003"/>
      <c r="I78" s="311"/>
      <c r="J78" s="2036"/>
      <c r="K78" s="3327"/>
      <c r="L78" s="3313"/>
      <c r="M78" s="3033" t="s">
        <v>425</v>
      </c>
      <c r="N78" s="1302"/>
      <c r="O78" s="1303" t="str">
        <f ca="1">NUMBERSTRING(INT(O77*10000),2)&amp;"元整"</f>
        <v>叁亿捌仟捌佰玖拾壹万元整</v>
      </c>
      <c r="P78" s="1304"/>
      <c r="Q78" s="2029"/>
      <c r="R78" s="2029"/>
      <c r="S78" s="2029"/>
      <c r="T78" s="2029"/>
      <c r="U78" s="2029"/>
      <c r="V78" s="2029"/>
    </row>
    <row r="79" spans="1:22" ht="13.5" thickBot="1">
      <c r="A79" s="3317" t="s">
        <v>427</v>
      </c>
      <c r="B79" s="3317"/>
      <c r="C79" s="3317"/>
      <c r="D79" s="3317"/>
      <c r="E79" s="3317"/>
      <c r="F79" s="42"/>
      <c r="G79" s="42"/>
      <c r="H79" s="1003"/>
      <c r="I79" s="311"/>
      <c r="J79" s="2036"/>
      <c r="K79" s="3311">
        <f>K77+1</f>
        <v>5</v>
      </c>
      <c r="L79" s="3313" t="s">
        <v>2885</v>
      </c>
      <c r="M79" s="3033" t="s">
        <v>421</v>
      </c>
      <c r="N79" s="1302"/>
      <c r="O79" s="1303">
        <f ca="1">N69-O77</f>
        <v>45607</v>
      </c>
      <c r="P79" s="1304"/>
      <c r="Q79" s="2029"/>
      <c r="R79" s="2029"/>
      <c r="S79" s="2029"/>
      <c r="T79" s="2029"/>
      <c r="U79" s="2029"/>
      <c r="V79" s="2029"/>
    </row>
    <row r="80" spans="1:22" ht="25.5">
      <c r="A80" s="3318" t="s">
        <v>428</v>
      </c>
      <c r="B80" s="3319"/>
      <c r="C80" s="994"/>
      <c r="D80" s="994" t="s">
        <v>429</v>
      </c>
      <c r="E80" s="370" t="s">
        <v>430</v>
      </c>
      <c r="F80" s="42"/>
      <c r="G80" s="42"/>
      <c r="H80" s="1003"/>
      <c r="I80" s="311"/>
      <c r="J80" s="2029"/>
      <c r="K80" s="3312"/>
      <c r="L80" s="3313"/>
      <c r="M80" s="3033" t="s">
        <v>425</v>
      </c>
      <c r="N80" s="1302"/>
      <c r="O80" s="1303" t="str">
        <f ca="1">NUMBERSTRING(INT(O79*10000),2)&amp;"元整"</f>
        <v>肆亿伍仟陆佰零柒万元整</v>
      </c>
      <c r="P80" s="1304"/>
      <c r="Q80" s="2029"/>
      <c r="R80" s="2029"/>
      <c r="S80" s="2029"/>
      <c r="T80" s="2029"/>
      <c r="U80" s="2029"/>
      <c r="V80" s="2029"/>
    </row>
    <row r="81" spans="1:26" ht="13.5" thickBot="1">
      <c r="A81" s="381" t="s">
        <v>1824</v>
      </c>
      <c r="B81" s="371" t="s">
        <v>431</v>
      </c>
      <c r="C81" s="372">
        <f ca="1">ROUND((C82+C83)/(1+'数据-取费表'!C42),0)</f>
        <v>80474</v>
      </c>
      <c r="D81" s="373"/>
      <c r="E81" s="374"/>
      <c r="F81" s="42"/>
      <c r="G81" s="42"/>
      <c r="H81" s="1003"/>
      <c r="I81" s="311"/>
      <c r="J81" s="2029"/>
      <c r="K81" s="3027">
        <f>K79+1</f>
        <v>6</v>
      </c>
      <c r="L81" s="3325" t="s">
        <v>2886</v>
      </c>
      <c r="M81" s="3326"/>
      <c r="N81" s="1306"/>
      <c r="O81" s="1307">
        <f ca="1">ROUND(O79*10000/'数据-汇总表'!E3,0)</f>
        <v>2490</v>
      </c>
      <c r="P81" s="1308"/>
      <c r="Q81" s="2029"/>
      <c r="R81" s="2029"/>
      <c r="S81" s="2029"/>
      <c r="T81" s="2029"/>
      <c r="U81" s="2029"/>
      <c r="V81" s="2029"/>
    </row>
    <row r="82" spans="1:26" ht="13.5" thickTop="1">
      <c r="A82" s="375" t="s">
        <v>1825</v>
      </c>
      <c r="B82" s="376" t="s">
        <v>432</v>
      </c>
      <c r="C82" s="377">
        <f ca="1">D63</f>
        <v>84498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0" t="s">
        <v>2874</v>
      </c>
      <c r="L83" s="3039" t="s">
        <v>2875</v>
      </c>
      <c r="M83" s="3029">
        <f ca="1">IF(N69&gt;10000,N69*0.5%,IF(AND(N69&gt;1000,N69&lt;=10000),N69*1%,IF(AND(N69&gt;100,N69&lt;=1000),N69*3%,IF(AND(N69&gt;10,N69&lt;=100),N69*5%,N69*8%))))</f>
        <v>422.49</v>
      </c>
      <c r="N83" s="53">
        <f ca="1">ROUND(M83,1)</f>
        <v>422.5</v>
      </c>
      <c r="O83" s="3032"/>
      <c r="P83" s="2029"/>
      <c r="Q83" s="2029"/>
      <c r="R83" s="2029"/>
      <c r="S83" s="2029"/>
      <c r="T83" s="2029"/>
      <c r="U83" s="2029"/>
      <c r="V83" s="2029"/>
    </row>
    <row r="84" spans="1:26" ht="12.75">
      <c r="A84" s="381" t="s">
        <v>1827</v>
      </c>
      <c r="B84" s="382" t="s">
        <v>434</v>
      </c>
      <c r="C84" s="383">
        <v>2000</v>
      </c>
      <c r="D84" s="384" t="s">
        <v>19</v>
      </c>
      <c r="E84" s="3074" t="s">
        <v>2942</v>
      </c>
      <c r="F84" s="42"/>
      <c r="G84" s="42"/>
      <c r="H84" s="1003"/>
      <c r="I84" s="311"/>
      <c r="J84" s="2029"/>
      <c r="K84" s="3300"/>
      <c r="L84" s="3039" t="s">
        <v>2876</v>
      </c>
      <c r="M84" s="3029">
        <f ca="1">IF(N69&gt;2000,N69*0.5%,IF(AND(N69&gt;1000,N69&lt;=2000),N69*0.6%,IF(AND(N69&gt;500,N69&lt;=1000),N69*0.7%,IF(AND(N69&gt;200,N69&lt;=500),N69*0.8%,IF(AND(N69&gt;100,N69&lt;=200),N69*0.9%,IF(AND(N69&gt;50,N69&lt;=100),N69*1%,IF(AND(N69&gt;20,N69&lt;=50),N69*1.5%,IF(AND(N69&gt;10,N69&lt;=20),N69*2%,IF(AND(N69&gt;1,N69&lt;=10),N69*2.5%)))))))))</f>
        <v>422.49</v>
      </c>
      <c r="N84" s="53">
        <f t="shared" ref="N84:N85" ca="1" si="2">ROUND(M84,1)</f>
        <v>422.5</v>
      </c>
      <c r="O84" s="2029" t="s">
        <v>2877</v>
      </c>
      <c r="P84" s="2029"/>
      <c r="Q84" s="2029"/>
      <c r="R84" s="2029"/>
      <c r="S84" s="2029"/>
      <c r="T84" s="2029"/>
      <c r="U84" s="2029"/>
      <c r="V84" s="2029"/>
    </row>
    <row r="85" spans="1:26" ht="12.75">
      <c r="A85" s="381" t="s">
        <v>1828</v>
      </c>
      <c r="B85" s="382" t="s">
        <v>435</v>
      </c>
      <c r="C85" s="385">
        <f ca="1">C81-C84</f>
        <v>78474</v>
      </c>
      <c r="D85" s="378" t="s">
        <v>19</v>
      </c>
      <c r="E85" s="379"/>
      <c r="F85" s="42"/>
      <c r="G85" s="42"/>
      <c r="H85" s="1003"/>
      <c r="I85" s="311"/>
      <c r="J85" s="2029"/>
      <c r="K85" s="3300"/>
      <c r="L85" s="3039" t="s">
        <v>2878</v>
      </c>
      <c r="M85" s="3029">
        <f ca="1">IF(N69&gt;1000,N69*0.1%,IF(AND(N69&gt;500,N69&lt;=1000),N69*0.5%,IF(AND(N69&gt;50,N69&lt;=500),N69*1%,IF(AND(N69&gt;1,N69&lt;=50),N69*1.5%))))</f>
        <v>84.498000000000005</v>
      </c>
      <c r="N85" s="53">
        <f t="shared" ca="1" si="2"/>
        <v>84.5</v>
      </c>
      <c r="O85" s="2029" t="s">
        <v>2877</v>
      </c>
      <c r="P85" s="2029"/>
      <c r="Q85" s="2029"/>
      <c r="R85" s="2029"/>
      <c r="S85" s="2029"/>
      <c r="T85" s="2029"/>
      <c r="U85" s="2029"/>
      <c r="V85" s="2029"/>
    </row>
    <row r="86" spans="1:26" ht="13.5" thickBot="1">
      <c r="A86" s="386" t="s">
        <v>1829</v>
      </c>
      <c r="B86" s="387" t="s">
        <v>436</v>
      </c>
      <c r="C86" s="388">
        <f ca="1">IF(C85&lt;=0,0,ROUND(C85*D86,0))</f>
        <v>4395</v>
      </c>
      <c r="D86" s="389">
        <f>'数据-取费表'!B41</f>
        <v>5.6000000000000001E-2</v>
      </c>
      <c r="E86" s="390"/>
      <c r="F86" s="42"/>
      <c r="G86" s="42"/>
      <c r="H86" s="1003"/>
      <c r="I86" s="311"/>
      <c r="J86" s="2029"/>
      <c r="K86" s="3300"/>
      <c r="L86" s="3039" t="s">
        <v>2879</v>
      </c>
      <c r="M86" s="3029">
        <f ca="1">N69*0.5%</f>
        <v>422.49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0"/>
      <c r="L87" s="3039" t="s">
        <v>2881</v>
      </c>
      <c r="M87" s="3029">
        <f ca="1">IF(N69&gt;=10000,(8.25+(N69-10000)*0.01%),IF(AND(N69&gt;=8000,N69&lt;10000),(7.85+(N69-8000)*0.02%),IF(AND(N69&gt;=5000,N69&lt;8000),(6.65+(N69-5000)*0.04%),IF(AND(N69&gt;=2000,N69&lt;5000),(4.25+(PN69-2000)*0.08%),IF(AND(N69&gt;=1000,N69&lt;2000),(2.75+(N69-1000)*0.15%),IF(AND(N69&gt;=100,N69&lt;1000),(0.5+(N69-100)*0.25%),IF(AND(N69&gt;0,N69&lt;100),N69*0.5%)))))))</f>
        <v>15.6998</v>
      </c>
      <c r="N87" s="53">
        <f ca="1">ROUND(M87*0.9,1)</f>
        <v>14.1</v>
      </c>
      <c r="O87" s="3032"/>
      <c r="P87" s="311"/>
      <c r="Q87" s="2029"/>
      <c r="R87" s="2029"/>
      <c r="S87" s="2029"/>
      <c r="T87" s="2029"/>
      <c r="U87" s="2029"/>
      <c r="V87" s="2029"/>
      <c r="W87" s="292"/>
      <c r="X87" s="292"/>
      <c r="Y87" s="292"/>
      <c r="Z87" s="292"/>
    </row>
    <row r="88" spans="1:26" s="1314" customFormat="1" ht="15" thickBot="1">
      <c r="A88" s="3354" t="s">
        <v>437</v>
      </c>
      <c r="B88" s="3355"/>
      <c r="C88" s="3355"/>
      <c r="D88" s="3355"/>
      <c r="E88" s="3355"/>
      <c r="F88" s="3355"/>
      <c r="G88" s="3355"/>
      <c r="H88" s="3355"/>
      <c r="I88" s="1315"/>
      <c r="J88" s="2037"/>
      <c r="K88" s="3300"/>
      <c r="L88" s="3039" t="s">
        <v>2882</v>
      </c>
      <c r="M88" s="3029">
        <f ca="1">IF(N69&gt;10000,N69*0.5%,IF(AND(N69&gt;5000,N69&lt;=10000),N69*1%,IF(AND(N69&gt;1000,N69&lt;=5000),N69*2%,IF(AND(N69&gt;200,N69&lt;=1000),N69*3%,N69*5%))))</f>
        <v>422.49</v>
      </c>
      <c r="N88" s="53">
        <f ca="1">ROUND(M88,1)</f>
        <v>422.5</v>
      </c>
      <c r="O88" s="3032"/>
      <c r="P88" s="11"/>
      <c r="Q88" s="2034"/>
      <c r="R88" s="2034"/>
      <c r="S88" s="2034"/>
      <c r="T88" s="2034"/>
      <c r="U88" s="2034"/>
      <c r="V88" s="2034"/>
      <c r="W88" s="2038"/>
      <c r="X88" s="2038"/>
      <c r="Y88" s="2038"/>
      <c r="Z88" s="2038"/>
    </row>
    <row r="89" spans="1:26" s="1314" customFormat="1" ht="14.25">
      <c r="A89" s="3318" t="s">
        <v>428</v>
      </c>
      <c r="B89" s="3319"/>
      <c r="C89" s="994"/>
      <c r="D89" s="994" t="s">
        <v>429</v>
      </c>
      <c r="E89" s="391" t="s">
        <v>438</v>
      </c>
      <c r="F89" s="392"/>
      <c r="G89" s="392"/>
      <c r="H89" s="393"/>
      <c r="I89" s="1316"/>
      <c r="J89" s="2039"/>
      <c r="K89" s="3300"/>
      <c r="L89" s="3039" t="s">
        <v>27</v>
      </c>
      <c r="M89" s="3030"/>
      <c r="N89" s="53">
        <f ca="1">ROUND(SUM(N83:N88),0)</f>
        <v>1367</v>
      </c>
      <c r="O89" s="3040">
        <f ca="1">N89/N69</f>
        <v>1.6177897701720751E-2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80474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1" t="s">
        <v>447</v>
      </c>
      <c r="F94" s="3352"/>
      <c r="G94" s="3352"/>
      <c r="H94" s="335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483</v>
      </c>
      <c r="D96" s="406">
        <f>'数据-取费表'!B43</f>
        <v>6.000000000000001E-3</v>
      </c>
      <c r="E96" s="3341" t="s">
        <v>2429</v>
      </c>
      <c r="F96" s="3342"/>
      <c r="G96" s="3342"/>
      <c r="H96" s="334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77410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25.264360313315926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45374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4" t="s">
        <v>454</v>
      </c>
      <c r="B101" s="3355"/>
      <c r="C101" s="3355"/>
      <c r="D101" s="3355"/>
      <c r="E101" s="3355"/>
      <c r="F101" s="3355"/>
      <c r="G101" s="3355"/>
      <c r="H101" s="335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8" t="s">
        <v>428</v>
      </c>
      <c r="B102" s="331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80474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14676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12903</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12401</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502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44" t="s">
        <v>462</v>
      </c>
      <c r="F109" s="3342"/>
      <c r="G109" s="3342"/>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1290</v>
      </c>
      <c r="D110" s="406">
        <v>0.1</v>
      </c>
      <c r="E110" s="3344" t="s">
        <v>464</v>
      </c>
      <c r="F110" s="3342"/>
      <c r="G110" s="3342"/>
      <c r="H110" s="334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483</v>
      </c>
      <c r="D111" s="406">
        <f>'数据-取费表'!B43</f>
        <v>6.000000000000001E-3</v>
      </c>
      <c r="E111" s="3341" t="s">
        <v>2429</v>
      </c>
      <c r="F111" s="3342"/>
      <c r="G111" s="3342"/>
      <c r="H111" s="334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4" t="s">
        <v>2454</v>
      </c>
      <c r="F112" s="3342"/>
      <c r="G112" s="3342"/>
      <c r="H112" s="334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65798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4.4833742164077401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34342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D117" s="2042">
        <f ca="1">G19-C115</f>
        <v>50156</v>
      </c>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22"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78350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4278</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22059</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1471</v>
      </c>
      <c r="C5" s="431" t="s">
        <v>469</v>
      </c>
      <c r="D5" s="2062"/>
      <c r="E5" s="2062"/>
      <c r="F5" s="2062"/>
      <c r="G5" s="2129"/>
      <c r="H5" s="2129"/>
      <c r="I5" s="3204">
        <v>42484</v>
      </c>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9" t="s">
        <v>522</v>
      </c>
      <c r="D6" s="3400"/>
      <c r="E6" s="3399" t="s">
        <v>523</v>
      </c>
      <c r="F6" s="3400"/>
      <c r="G6" s="3399" t="s">
        <v>524</v>
      </c>
      <c r="H6" s="3400"/>
      <c r="I6" s="3399" t="s">
        <v>525</v>
      </c>
      <c r="J6" s="3400"/>
      <c r="K6" s="514" t="s">
        <v>526</v>
      </c>
      <c r="L6" s="2134"/>
      <c r="M6" s="2133"/>
      <c r="N6" s="2133"/>
      <c r="O6" s="2135"/>
      <c r="P6" s="3401" t="s">
        <v>527</v>
      </c>
      <c r="Q6" s="3402"/>
      <c r="R6" s="3387" t="s">
        <v>523</v>
      </c>
      <c r="S6" s="3388"/>
      <c r="T6" s="3387" t="s">
        <v>524</v>
      </c>
      <c r="U6" s="3388"/>
      <c r="V6" s="3407" t="s">
        <v>525</v>
      </c>
      <c r="W6" s="3407"/>
      <c r="X6" s="1568"/>
      <c r="Y6" s="3387" t="s">
        <v>527</v>
      </c>
      <c r="Z6" s="3388"/>
      <c r="AA6" s="3382" t="s">
        <v>523</v>
      </c>
      <c r="AB6" s="3383" t="s">
        <v>524</v>
      </c>
      <c r="AC6" s="3382" t="s">
        <v>525</v>
      </c>
    </row>
    <row r="7" spans="1:30" ht="20.25">
      <c r="A7" s="515"/>
      <c r="B7" s="516"/>
      <c r="C7" s="3410" t="s">
        <v>2929</v>
      </c>
      <c r="D7" s="3411"/>
      <c r="E7" s="3410" t="s">
        <v>3017</v>
      </c>
      <c r="F7" s="3411"/>
      <c r="G7" s="3410" t="s">
        <v>3018</v>
      </c>
      <c r="H7" s="3411"/>
      <c r="I7" s="3410" t="s">
        <v>3019</v>
      </c>
      <c r="J7" s="3411"/>
      <c r="K7" s="514"/>
      <c r="L7" s="2134"/>
      <c r="M7" s="2133"/>
      <c r="N7" s="2133"/>
      <c r="O7" s="2135"/>
      <c r="P7" s="3403"/>
      <c r="Q7" s="3404"/>
      <c r="R7" s="3389"/>
      <c r="S7" s="3390"/>
      <c r="T7" s="3389"/>
      <c r="U7" s="3390"/>
      <c r="V7" s="3407"/>
      <c r="W7" s="3407"/>
      <c r="X7" s="1568"/>
      <c r="Y7" s="3389"/>
      <c r="Z7" s="3390"/>
      <c r="AA7" s="3383"/>
      <c r="AB7" s="3383"/>
      <c r="AC7" s="3383"/>
    </row>
    <row r="8" spans="1:30" ht="21" thickBot="1">
      <c r="A8" s="515"/>
      <c r="B8" s="516"/>
      <c r="C8" s="3412" t="s">
        <v>2933</v>
      </c>
      <c r="D8" s="3413"/>
      <c r="E8" s="3412" t="s">
        <v>3020</v>
      </c>
      <c r="F8" s="3413"/>
      <c r="G8" s="3408" t="s">
        <v>3021</v>
      </c>
      <c r="H8" s="3409"/>
      <c r="I8" s="3408" t="s">
        <v>3022</v>
      </c>
      <c r="J8" s="3409"/>
      <c r="K8" s="514" t="s">
        <v>528</v>
      </c>
      <c r="L8" s="2134"/>
      <c r="M8" s="2133"/>
      <c r="N8" s="2133"/>
      <c r="O8" s="2135"/>
      <c r="P8" s="3405"/>
      <c r="Q8" s="3406"/>
      <c r="R8" s="3389"/>
      <c r="S8" s="3390"/>
      <c r="T8" s="3391"/>
      <c r="U8" s="3392"/>
      <c r="V8" s="3407"/>
      <c r="W8" s="3407"/>
      <c r="X8" s="1568"/>
      <c r="Y8" s="3391"/>
      <c r="Z8" s="3392"/>
      <c r="AA8" s="3384"/>
      <c r="AB8" s="3384"/>
      <c r="AC8" s="3384"/>
    </row>
    <row r="9" spans="1:30" s="1220" customFormat="1" ht="21" thickBot="1">
      <c r="A9" s="2891"/>
      <c r="B9" s="2898" t="s">
        <v>529</v>
      </c>
      <c r="C9" s="2890">
        <f>'数据-取费表'!B2</f>
        <v>43564</v>
      </c>
      <c r="D9" s="520">
        <v>100</v>
      </c>
      <c r="E9" s="521">
        <v>42839</v>
      </c>
      <c r="F9" s="522">
        <f>SUMIF(72:72,YEAR(E9)&amp;"-"&amp;INT((MONTH(E9)+2)/3),73:73)</f>
        <v>92</v>
      </c>
      <c r="G9" s="523">
        <v>42781</v>
      </c>
      <c r="H9" s="520">
        <f>SUMIF(72:72,YEAR(G9)&amp;"-"&amp;INT((MONTH(G9)+2)/3),73:73)</f>
        <v>91</v>
      </c>
      <c r="I9" s="3203">
        <v>42575</v>
      </c>
      <c r="J9" s="520">
        <f>SUMIF(72:72,YEAR(I9)&amp;"-"&amp;INT((MONTH(I9)+2)/3),73:73)</f>
        <v>88</v>
      </c>
      <c r="K9" s="524"/>
      <c r="L9" s="2136"/>
      <c r="M9" s="2133"/>
      <c r="N9" s="2133"/>
      <c r="O9" s="2137"/>
      <c r="P9" s="3385" t="s">
        <v>530</v>
      </c>
      <c r="Q9" s="3394"/>
      <c r="R9" s="1569" t="s">
        <v>8</v>
      </c>
      <c r="S9" s="1570">
        <f t="shared" ref="S9:S17" si="0">F9</f>
        <v>92</v>
      </c>
      <c r="T9" s="1569" t="s">
        <v>8</v>
      </c>
      <c r="U9" s="1570">
        <f t="shared" ref="U9:U17" si="1">H9</f>
        <v>91</v>
      </c>
      <c r="V9" s="1569" t="s">
        <v>8</v>
      </c>
      <c r="W9" s="1570">
        <f t="shared" ref="W9:W17" si="2">J9</f>
        <v>88</v>
      </c>
      <c r="X9" s="1571"/>
      <c r="Y9" s="3385" t="s">
        <v>530</v>
      </c>
      <c r="Z9" s="3386"/>
      <c r="AA9" s="1572">
        <f>D9/F9</f>
        <v>1.0869565217391304</v>
      </c>
      <c r="AB9" s="1572">
        <f>D9/H9</f>
        <v>1.098901098901099</v>
      </c>
      <c r="AC9" s="1572">
        <f>D9/J9</f>
        <v>1.1363636363636365</v>
      </c>
    </row>
    <row r="10" spans="1:30" s="1220" customFormat="1" ht="21"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85" t="s">
        <v>533</v>
      </c>
      <c r="Q10" s="3386"/>
      <c r="R10" s="1569" t="s">
        <v>8</v>
      </c>
      <c r="S10" s="1570">
        <f t="shared" si="0"/>
        <v>100</v>
      </c>
      <c r="T10" s="1569" t="s">
        <v>8</v>
      </c>
      <c r="U10" s="1570">
        <f t="shared" si="1"/>
        <v>100</v>
      </c>
      <c r="V10" s="1569" t="s">
        <v>8</v>
      </c>
      <c r="W10" s="1570">
        <f t="shared" si="2"/>
        <v>100</v>
      </c>
      <c r="X10" s="1571"/>
      <c r="Y10" s="3385" t="s">
        <v>533</v>
      </c>
      <c r="Z10" s="3386"/>
      <c r="AA10" s="1572">
        <f t="shared" ref="AA10:AA47" si="3">D10/F10</f>
        <v>1</v>
      </c>
      <c r="AB10" s="1572">
        <f t="shared" ref="AB10:AB47" si="4">D10/H10</f>
        <v>1</v>
      </c>
      <c r="AC10" s="1572">
        <f t="shared" ref="AC10:AC47" si="5">D10/J10</f>
        <v>1</v>
      </c>
    </row>
    <row r="11" spans="1:30" s="1220" customFormat="1" ht="20.25">
      <c r="A11" s="2893"/>
      <c r="B11" s="2900" t="s">
        <v>2756</v>
      </c>
      <c r="C11" s="2887" t="s">
        <v>2995</v>
      </c>
      <c r="D11" s="254">
        <v>100</v>
      </c>
      <c r="E11" s="2887" t="s">
        <v>2995</v>
      </c>
      <c r="F11" s="254">
        <f>SUMIF(77:77,E11,78:78)-SUMIF(77:77,C11,78:78)+100</f>
        <v>100</v>
      </c>
      <c r="G11" s="2887" t="s">
        <v>2995</v>
      </c>
      <c r="H11" s="254">
        <f>SUMIF(77:77,G11,78:78)-SUMIF(77:77,C11,78:78)+100</f>
        <v>100</v>
      </c>
      <c r="I11" s="2887" t="s">
        <v>2995</v>
      </c>
      <c r="J11" s="254">
        <f>SUMIF(77:77,I11,78:78)-SUMIF(77:77,C11,78:78)+100</f>
        <v>100</v>
      </c>
      <c r="K11" s="524"/>
      <c r="L11" s="2136"/>
      <c r="M11" s="2133"/>
      <c r="N11" s="2133"/>
      <c r="O11" s="2138"/>
      <c r="P11" s="3393" t="s">
        <v>535</v>
      </c>
      <c r="Q11" s="1151" t="str">
        <f t="shared" ref="Q11:Q17" si="6">B11</f>
        <v>用途</v>
      </c>
      <c r="R11" s="1569" t="s">
        <v>8</v>
      </c>
      <c r="S11" s="1570">
        <f t="shared" si="0"/>
        <v>100</v>
      </c>
      <c r="T11" s="1569" t="s">
        <v>8</v>
      </c>
      <c r="U11" s="1570">
        <f t="shared" si="1"/>
        <v>100</v>
      </c>
      <c r="V11" s="1569" t="s">
        <v>8</v>
      </c>
      <c r="W11" s="1570">
        <f t="shared" si="2"/>
        <v>100</v>
      </c>
      <c r="X11" s="1571"/>
      <c r="Y11" s="3350" t="s">
        <v>536</v>
      </c>
      <c r="Z11" s="1150" t="str">
        <f t="shared" ref="Z11:Z17" si="7">Q11</f>
        <v>用途</v>
      </c>
      <c r="AA11" s="1572">
        <f t="shared" si="3"/>
        <v>1</v>
      </c>
      <c r="AB11" s="1572">
        <f t="shared" si="4"/>
        <v>1</v>
      </c>
      <c r="AC11" s="1572">
        <f t="shared" si="5"/>
        <v>1</v>
      </c>
    </row>
    <row r="12" spans="1:30" s="1338" customFormat="1" ht="27">
      <c r="A12" s="2894"/>
      <c r="B12" s="2899" t="s">
        <v>2757</v>
      </c>
      <c r="C12" s="910"/>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393"/>
      <c r="Q12" s="1151" t="str">
        <f t="shared" si="6"/>
        <v>土地使用年限（年）</v>
      </c>
      <c r="R12" s="1569" t="s">
        <v>8</v>
      </c>
      <c r="S12" s="1570">
        <f t="shared" si="0"/>
        <v>108</v>
      </c>
      <c r="T12" s="1569" t="s">
        <v>8</v>
      </c>
      <c r="U12" s="1570">
        <f t="shared" si="1"/>
        <v>108</v>
      </c>
      <c r="V12" s="1569" t="s">
        <v>8</v>
      </c>
      <c r="W12" s="1570">
        <f t="shared" si="2"/>
        <v>108</v>
      </c>
      <c r="X12" s="1571"/>
      <c r="Y12" s="3350"/>
      <c r="Z12" s="1150" t="str">
        <f t="shared" si="7"/>
        <v>土地使用年限（年）</v>
      </c>
      <c r="AA12" s="1572">
        <f t="shared" si="3"/>
        <v>0.92592592592592593</v>
      </c>
      <c r="AB12" s="1572">
        <f t="shared" si="4"/>
        <v>0.92592592592592593</v>
      </c>
      <c r="AC12" s="1572">
        <f t="shared" si="5"/>
        <v>0.92592592592592593</v>
      </c>
    </row>
    <row r="13" spans="1:30" ht="20.25">
      <c r="A13" s="2895"/>
      <c r="B13" s="2899" t="s">
        <v>2758</v>
      </c>
      <c r="C13" s="534">
        <f>'数据-汇总表'!I6</f>
        <v>3.79</v>
      </c>
      <c r="D13" s="255">
        <v>100</v>
      </c>
      <c r="E13" s="533">
        <v>2.5</v>
      </c>
      <c r="F13" s="255">
        <f>LOOKUP(E13,82:82,83:83)-LOOKUP(C13,82:82,83:83)+100</f>
        <v>103</v>
      </c>
      <c r="G13" s="534">
        <v>4</v>
      </c>
      <c r="H13" s="255">
        <f>LOOKUP(G13,82:82,83:83)-LOOKUP(C13,82:82,83:83)+100</f>
        <v>97</v>
      </c>
      <c r="I13" s="533">
        <v>3.7</v>
      </c>
      <c r="J13" s="255">
        <f>LOOKUP(I13,82:82,83:83)-LOOKUP(C13,82:82,83:83)+100</f>
        <v>100</v>
      </c>
      <c r="K13" s="535">
        <v>3</v>
      </c>
      <c r="L13" s="2141"/>
      <c r="M13" s="2133"/>
      <c r="N13" s="2133"/>
      <c r="O13" s="2142"/>
      <c r="P13" s="3393"/>
      <c r="Q13" s="1151" t="str">
        <f t="shared" si="6"/>
        <v>容积率</v>
      </c>
      <c r="R13" s="1569" t="s">
        <v>8</v>
      </c>
      <c r="S13" s="1570">
        <f t="shared" si="0"/>
        <v>103</v>
      </c>
      <c r="T13" s="1569" t="s">
        <v>8</v>
      </c>
      <c r="U13" s="1570">
        <f t="shared" si="1"/>
        <v>97</v>
      </c>
      <c r="V13" s="1569" t="s">
        <v>8</v>
      </c>
      <c r="W13" s="1570">
        <f t="shared" si="2"/>
        <v>100</v>
      </c>
      <c r="X13" s="1571"/>
      <c r="Y13" s="3350"/>
      <c r="Z13" s="1150" t="str">
        <f t="shared" si="7"/>
        <v>容积率</v>
      </c>
      <c r="AA13" s="1572">
        <f t="shared" si="3"/>
        <v>0.970873786407767</v>
      </c>
      <c r="AB13" s="1572">
        <f t="shared" si="4"/>
        <v>1.0309278350515463</v>
      </c>
      <c r="AC13" s="1572">
        <f t="shared" si="5"/>
        <v>1</v>
      </c>
    </row>
    <row r="14" spans="1:30" s="1220" customFormat="1" ht="20.25" hidden="1">
      <c r="A14" s="2892"/>
      <c r="B14" s="2901" t="s">
        <v>2759</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3"/>
      <c r="Q14" s="1151" t="str">
        <f t="shared" si="6"/>
        <v>配建</v>
      </c>
      <c r="R14" s="1569" t="s">
        <v>8</v>
      </c>
      <c r="S14" s="1570">
        <f t="shared" si="0"/>
        <v>100</v>
      </c>
      <c r="T14" s="1569" t="s">
        <v>8</v>
      </c>
      <c r="U14" s="1570">
        <f t="shared" si="1"/>
        <v>100</v>
      </c>
      <c r="V14" s="1569" t="s">
        <v>8</v>
      </c>
      <c r="W14" s="1570">
        <f t="shared" si="2"/>
        <v>100</v>
      </c>
      <c r="X14" s="1571"/>
      <c r="Y14" s="3350"/>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3"/>
      <c r="Q15" s="1151">
        <f t="shared" si="6"/>
        <v>111</v>
      </c>
      <c r="R15" s="1569" t="s">
        <v>8</v>
      </c>
      <c r="S15" s="1570">
        <f t="shared" si="0"/>
        <v>100</v>
      </c>
      <c r="T15" s="1569" t="s">
        <v>8</v>
      </c>
      <c r="U15" s="1570">
        <f t="shared" si="1"/>
        <v>100</v>
      </c>
      <c r="V15" s="1569" t="s">
        <v>8</v>
      </c>
      <c r="W15" s="1570">
        <f t="shared" si="2"/>
        <v>100</v>
      </c>
      <c r="X15" s="1571"/>
      <c r="Y15" s="3350"/>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3"/>
      <c r="Q16" s="1151">
        <f t="shared" si="6"/>
        <v>111</v>
      </c>
      <c r="R16" s="1569" t="s">
        <v>8</v>
      </c>
      <c r="S16" s="1570">
        <f t="shared" si="0"/>
        <v>100</v>
      </c>
      <c r="T16" s="1569" t="s">
        <v>8</v>
      </c>
      <c r="U16" s="1570">
        <f t="shared" si="1"/>
        <v>100</v>
      </c>
      <c r="V16" s="1569" t="s">
        <v>8</v>
      </c>
      <c r="W16" s="1570">
        <f t="shared" si="2"/>
        <v>100</v>
      </c>
      <c r="X16" s="1571"/>
      <c r="Y16" s="3350"/>
      <c r="Z16" s="1150">
        <f t="shared" si="7"/>
        <v>111</v>
      </c>
      <c r="AA16" s="1572">
        <f>D16/F16</f>
        <v>1</v>
      </c>
      <c r="AB16" s="1572">
        <f>D16/H16</f>
        <v>1</v>
      </c>
      <c r="AC16" s="1572">
        <f>D16/J16</f>
        <v>1</v>
      </c>
    </row>
    <row r="17" spans="1:29" ht="99.75" hidden="1">
      <c r="A17" s="2889"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5" t="s">
        <v>540</v>
      </c>
      <c r="Q17" s="1573" t="str">
        <f t="shared" si="6"/>
        <v>居住社区成熟度</v>
      </c>
      <c r="R17" s="1574" t="s">
        <v>8</v>
      </c>
      <c r="S17" s="1575">
        <f t="shared" si="0"/>
        <v>100</v>
      </c>
      <c r="T17" s="1574" t="s">
        <v>8</v>
      </c>
      <c r="U17" s="1575">
        <f t="shared" si="1"/>
        <v>100</v>
      </c>
      <c r="V17" s="1574" t="s">
        <v>8</v>
      </c>
      <c r="W17" s="1575">
        <f t="shared" si="2"/>
        <v>100</v>
      </c>
      <c r="X17" s="1568"/>
      <c r="Y17" s="3395" t="s">
        <v>540</v>
      </c>
      <c r="Z17" s="1576" t="str">
        <f t="shared" si="7"/>
        <v>居住社区成熟度</v>
      </c>
      <c r="AA17" s="1577">
        <f t="shared" si="3"/>
        <v>1</v>
      </c>
      <c r="AB17" s="1577">
        <f t="shared" si="4"/>
        <v>1</v>
      </c>
      <c r="AC17" s="1577">
        <f t="shared" si="5"/>
        <v>1</v>
      </c>
    </row>
    <row r="18" spans="1:29" ht="20.25" hidden="1">
      <c r="A18" s="532"/>
      <c r="B18" s="553"/>
      <c r="C18" s="554"/>
      <c r="D18" s="557"/>
      <c r="E18" s="554"/>
      <c r="F18" s="555"/>
      <c r="G18" s="556"/>
      <c r="H18" s="559"/>
      <c r="I18" s="556"/>
      <c r="J18" s="555"/>
      <c r="K18" s="531"/>
      <c r="L18" s="2143"/>
      <c r="M18" s="2133"/>
      <c r="N18" s="2133"/>
      <c r="O18" s="2142"/>
      <c r="P18" s="3396"/>
      <c r="Q18" s="1573"/>
      <c r="R18" s="1574"/>
      <c r="S18" s="1575"/>
      <c r="T18" s="1574"/>
      <c r="U18" s="1575"/>
      <c r="V18" s="1574"/>
      <c r="W18" s="1575"/>
      <c r="X18" s="1568"/>
      <c r="Y18" s="339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110</v>
      </c>
      <c r="I19" s="564"/>
      <c r="J19" s="565">
        <f>SUMIF(92:92,I20,93:93)-SUMIF(92:92,C20,93:93)+100</f>
        <v>110</v>
      </c>
      <c r="K19" s="535">
        <v>5</v>
      </c>
      <c r="L19" s="2143"/>
      <c r="M19" s="2133"/>
      <c r="N19" s="2133"/>
      <c r="O19" s="2142"/>
      <c r="P19" s="3396"/>
      <c r="Q19" s="1573" t="str">
        <f>B19</f>
        <v>商业繁华度</v>
      </c>
      <c r="R19" s="1574" t="s">
        <v>8</v>
      </c>
      <c r="S19" s="1575">
        <f>F19</f>
        <v>100</v>
      </c>
      <c r="T19" s="1574" t="s">
        <v>8</v>
      </c>
      <c r="U19" s="1575">
        <f>H19</f>
        <v>110</v>
      </c>
      <c r="V19" s="1574" t="s">
        <v>8</v>
      </c>
      <c r="W19" s="1575">
        <f>J19</f>
        <v>110</v>
      </c>
      <c r="X19" s="1568"/>
      <c r="Y19" s="3396"/>
      <c r="Z19" s="1576" t="str">
        <f>Q19</f>
        <v>商业繁华度</v>
      </c>
      <c r="AA19" s="1577">
        <f t="shared" si="3"/>
        <v>1</v>
      </c>
      <c r="AB19" s="1577">
        <f t="shared" si="4"/>
        <v>0.90909090909090906</v>
      </c>
      <c r="AC19" s="1577">
        <f t="shared" si="5"/>
        <v>0.90909090909090906</v>
      </c>
    </row>
    <row r="20" spans="1:29" ht="20.25">
      <c r="A20" s="532"/>
      <c r="B20" s="566"/>
      <c r="C20" s="567" t="s">
        <v>3025</v>
      </c>
      <c r="D20" s="563"/>
      <c r="E20" s="567" t="s">
        <v>3025</v>
      </c>
      <c r="F20" s="559"/>
      <c r="G20" s="568" t="s">
        <v>3026</v>
      </c>
      <c r="H20" s="555"/>
      <c r="I20" s="568" t="s">
        <v>3026</v>
      </c>
      <c r="J20" s="555"/>
      <c r="K20" s="531"/>
      <c r="L20" s="2143"/>
      <c r="M20" s="2133"/>
      <c r="N20" s="2133"/>
      <c r="O20" s="2142"/>
      <c r="P20" s="3396"/>
      <c r="Q20" s="1573"/>
      <c r="R20" s="1574"/>
      <c r="S20" s="1575"/>
      <c r="T20" s="1574"/>
      <c r="U20" s="1575"/>
      <c r="V20" s="1574"/>
      <c r="W20" s="1575"/>
      <c r="X20" s="1568"/>
      <c r="Y20" s="3396"/>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96"/>
      <c r="Q22" s="1573"/>
      <c r="R22" s="1574"/>
      <c r="S22" s="1575"/>
      <c r="T22" s="1574"/>
      <c r="U22" s="1575"/>
      <c r="V22" s="1574"/>
      <c r="W22" s="1575"/>
      <c r="X22" s="1568"/>
      <c r="Y22" s="339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3"/>
      <c r="M23" s="2133"/>
      <c r="N23" s="2133"/>
      <c r="O23" s="2142"/>
      <c r="P23" s="3396"/>
      <c r="Q23" s="1573" t="str">
        <f>B23</f>
        <v>交通便捷度</v>
      </c>
      <c r="R23" s="1574" t="s">
        <v>8</v>
      </c>
      <c r="S23" s="1575">
        <f>F23</f>
        <v>105</v>
      </c>
      <c r="T23" s="1574" t="s">
        <v>8</v>
      </c>
      <c r="U23" s="1575">
        <f>H23</f>
        <v>105</v>
      </c>
      <c r="V23" s="1574" t="s">
        <v>8</v>
      </c>
      <c r="W23" s="1575">
        <f>J23</f>
        <v>105</v>
      </c>
      <c r="X23" s="1568"/>
      <c r="Y23" s="3396"/>
      <c r="Z23" s="1576" t="str">
        <f>Q23</f>
        <v>交通便捷度</v>
      </c>
      <c r="AA23" s="1577">
        <f t="shared" si="3"/>
        <v>0.95238095238095233</v>
      </c>
      <c r="AB23" s="1577">
        <f t="shared" si="4"/>
        <v>0.95238095238095233</v>
      </c>
      <c r="AC23" s="1577">
        <f t="shared" si="5"/>
        <v>0.95238095238095233</v>
      </c>
    </row>
    <row r="24" spans="1:29" ht="20.25">
      <c r="A24" s="532"/>
      <c r="B24" s="578"/>
      <c r="C24" s="554" t="s">
        <v>3025</v>
      </c>
      <c r="D24" s="557"/>
      <c r="E24" s="558" t="s">
        <v>3027</v>
      </c>
      <c r="F24" s="555"/>
      <c r="G24" s="558" t="s">
        <v>3027</v>
      </c>
      <c r="H24" s="555"/>
      <c r="I24" s="558" t="s">
        <v>3027</v>
      </c>
      <c r="J24" s="555"/>
      <c r="K24" s="531"/>
      <c r="L24" s="2143"/>
      <c r="M24" s="2133"/>
      <c r="N24" s="2133"/>
      <c r="O24" s="2142"/>
      <c r="P24" s="3396"/>
      <c r="Q24" s="1573"/>
      <c r="R24" s="1574"/>
      <c r="S24" s="1575"/>
      <c r="T24" s="1574"/>
      <c r="U24" s="1575"/>
      <c r="V24" s="1574"/>
      <c r="W24" s="1575"/>
      <c r="X24" s="1568"/>
      <c r="Y24" s="3396"/>
      <c r="Z24" s="1576"/>
      <c r="AA24" s="1577">
        <v>1</v>
      </c>
      <c r="AB24" s="1577">
        <v>1</v>
      </c>
      <c r="AC24" s="1577">
        <v>1</v>
      </c>
    </row>
    <row r="25" spans="1:29" ht="27">
      <c r="A25" s="515"/>
      <c r="B25" s="259" t="s">
        <v>544</v>
      </c>
      <c r="C25" s="573">
        <f>估价对象房地状况!C19</f>
        <v>0</v>
      </c>
      <c r="D25" s="563">
        <v>100</v>
      </c>
      <c r="E25" s="564"/>
      <c r="F25" s="565">
        <f>SUMIF(98:98,E26,99:99)-SUMIF(98:98,C26,99:99)+100</f>
        <v>105</v>
      </c>
      <c r="G25" s="562"/>
      <c r="H25" s="559">
        <f>SUMIF(98:98,G26,99:99)-SUMIF(98:98,C26,99:99)+100</f>
        <v>105</v>
      </c>
      <c r="I25" s="564"/>
      <c r="J25" s="559">
        <f>SUMIF(98:98,I26,99:99)-SUMIF(98:98,C26,99:99)+100</f>
        <v>105</v>
      </c>
      <c r="K25" s="535">
        <v>5</v>
      </c>
      <c r="L25" s="2143"/>
      <c r="M25" s="2133"/>
      <c r="N25" s="2133"/>
      <c r="O25" s="2142"/>
      <c r="P25" s="3396"/>
      <c r="Q25" s="1573" t="str">
        <f t="shared" ref="Q25:Q39" si="8">B25</f>
        <v>区域土地利用方向</v>
      </c>
      <c r="R25" s="1574" t="s">
        <v>8</v>
      </c>
      <c r="S25" s="1575">
        <f>F25</f>
        <v>105</v>
      </c>
      <c r="T25" s="1574" t="s">
        <v>8</v>
      </c>
      <c r="U25" s="1575">
        <f>H25</f>
        <v>105</v>
      </c>
      <c r="V25" s="1574" t="s">
        <v>8</v>
      </c>
      <c r="W25" s="1575">
        <f>J25</f>
        <v>105</v>
      </c>
      <c r="X25" s="1568"/>
      <c r="Y25" s="3396"/>
      <c r="Z25" s="1576" t="str">
        <f>Q25</f>
        <v>区域土地利用方向</v>
      </c>
      <c r="AA25" s="1577">
        <f t="shared" si="3"/>
        <v>0.95238095238095233</v>
      </c>
      <c r="AB25" s="1577">
        <f t="shared" si="4"/>
        <v>0.95238095238095233</v>
      </c>
      <c r="AC25" s="1577">
        <f t="shared" si="5"/>
        <v>0.95238095238095233</v>
      </c>
    </row>
    <row r="26" spans="1:29" ht="20.25">
      <c r="A26" s="515"/>
      <c r="B26" s="1007"/>
      <c r="C26" s="554" t="s">
        <v>3025</v>
      </c>
      <c r="D26" s="557"/>
      <c r="E26" s="558" t="s">
        <v>3027</v>
      </c>
      <c r="F26" s="555"/>
      <c r="G26" s="558" t="s">
        <v>3027</v>
      </c>
      <c r="H26" s="555"/>
      <c r="I26" s="558" t="s">
        <v>3027</v>
      </c>
      <c r="J26" s="555"/>
      <c r="K26" s="531"/>
      <c r="L26" s="2143"/>
      <c r="M26" s="2133"/>
      <c r="N26" s="2133"/>
      <c r="O26" s="2142"/>
      <c r="P26" s="3396"/>
      <c r="Q26" s="1573"/>
      <c r="R26" s="1574"/>
      <c r="S26" s="1575"/>
      <c r="T26" s="1574"/>
      <c r="U26" s="1575"/>
      <c r="V26" s="1574"/>
      <c r="W26" s="1575"/>
      <c r="X26" s="1568"/>
      <c r="Y26" s="339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43"/>
      <c r="M27" s="2133"/>
      <c r="N27" s="2133"/>
      <c r="O27" s="2142"/>
      <c r="P27" s="3396"/>
      <c r="Q27" s="1573" t="str">
        <f t="shared" si="8"/>
        <v>自然及人文环境状况</v>
      </c>
      <c r="R27" s="1574" t="s">
        <v>8</v>
      </c>
      <c r="S27" s="1575">
        <f>F27</f>
        <v>100</v>
      </c>
      <c r="T27" s="1574" t="s">
        <v>8</v>
      </c>
      <c r="U27" s="1575">
        <f>H27</f>
        <v>100</v>
      </c>
      <c r="V27" s="1574" t="s">
        <v>8</v>
      </c>
      <c r="W27" s="1575">
        <f>J27</f>
        <v>103</v>
      </c>
      <c r="X27" s="1568"/>
      <c r="Y27" s="3396"/>
      <c r="Z27" s="1576" t="str">
        <f>Q27</f>
        <v>自然及人文环境状况</v>
      </c>
      <c r="AA27" s="1577">
        <f t="shared" si="3"/>
        <v>1</v>
      </c>
      <c r="AB27" s="1577">
        <f t="shared" si="4"/>
        <v>1</v>
      </c>
      <c r="AC27" s="1577">
        <f t="shared" si="5"/>
        <v>0.970873786407767</v>
      </c>
    </row>
    <row r="28" spans="1:29" ht="20.25">
      <c r="A28" s="515"/>
      <c r="B28" s="566"/>
      <c r="C28" s="554" t="s">
        <v>3025</v>
      </c>
      <c r="D28" s="557"/>
      <c r="E28" s="554" t="s">
        <v>3025</v>
      </c>
      <c r="F28" s="555"/>
      <c r="G28" s="554" t="s">
        <v>3025</v>
      </c>
      <c r="H28" s="555"/>
      <c r="I28" s="576" t="s">
        <v>3027</v>
      </c>
      <c r="J28" s="555"/>
      <c r="K28" s="531"/>
      <c r="L28" s="2143"/>
      <c r="M28" s="2133"/>
      <c r="N28" s="2133"/>
      <c r="O28" s="2142"/>
      <c r="P28" s="3396"/>
      <c r="Q28" s="1573"/>
      <c r="R28" s="1574"/>
      <c r="S28" s="1575"/>
      <c r="T28" s="1574"/>
      <c r="U28" s="1575"/>
      <c r="V28" s="1574"/>
      <c r="W28" s="1575"/>
      <c r="X28" s="1568"/>
      <c r="Y28" s="3396"/>
      <c r="Z28" s="1576"/>
      <c r="AA28" s="1577">
        <v>1</v>
      </c>
      <c r="AB28" s="1577">
        <v>1</v>
      </c>
      <c r="AC28" s="1577">
        <v>1</v>
      </c>
    </row>
    <row r="29" spans="1:29" s="1220" customFormat="1" ht="42.75">
      <c r="A29" s="577"/>
      <c r="B29" s="2571"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100</v>
      </c>
      <c r="I29" s="564"/>
      <c r="J29" s="559">
        <f>SUMIF(102:102,I30,103:103)-SUMIF(102:102,C30,103:103)+100</f>
        <v>103</v>
      </c>
      <c r="K29" s="535">
        <v>3</v>
      </c>
      <c r="L29" s="2136"/>
      <c r="M29" s="2133"/>
      <c r="N29" s="2133"/>
      <c r="O29" s="2138"/>
      <c r="P29" s="3396"/>
      <c r="Q29" s="1151" t="str">
        <f t="shared" si="8"/>
        <v>公共配套设施</v>
      </c>
      <c r="R29" s="1569" t="s">
        <v>8</v>
      </c>
      <c r="S29" s="1570">
        <f>F29</f>
        <v>103</v>
      </c>
      <c r="T29" s="1569" t="s">
        <v>8</v>
      </c>
      <c r="U29" s="1570">
        <f>H29</f>
        <v>100</v>
      </c>
      <c r="V29" s="1569" t="s">
        <v>8</v>
      </c>
      <c r="W29" s="1570">
        <f>J29</f>
        <v>103</v>
      </c>
      <c r="X29" s="1571"/>
      <c r="Y29" s="3396"/>
      <c r="Z29" s="1150" t="str">
        <f>Q29</f>
        <v>公共配套设施</v>
      </c>
      <c r="AA29" s="1577">
        <f>D29/F29</f>
        <v>0.970873786407767</v>
      </c>
      <c r="AB29" s="1577">
        <f>D29/H29</f>
        <v>1</v>
      </c>
      <c r="AC29" s="1577">
        <f>D29/J29</f>
        <v>0.970873786407767</v>
      </c>
    </row>
    <row r="30" spans="1:29" s="1220" customFormat="1" ht="20.25">
      <c r="A30" s="577"/>
      <c r="B30" s="566"/>
      <c r="C30" s="579" t="s">
        <v>3025</v>
      </c>
      <c r="D30" s="557"/>
      <c r="E30" s="576" t="s">
        <v>3027</v>
      </c>
      <c r="F30" s="555"/>
      <c r="G30" s="579" t="s">
        <v>3025</v>
      </c>
      <c r="H30" s="555"/>
      <c r="I30" s="579" t="s">
        <v>3027</v>
      </c>
      <c r="J30" s="555"/>
      <c r="K30" s="531"/>
      <c r="L30" s="2136"/>
      <c r="M30" s="2133"/>
      <c r="N30" s="2133"/>
      <c r="O30" s="2138"/>
      <c r="P30" s="3396"/>
      <c r="Q30" s="1151"/>
      <c r="R30" s="1569"/>
      <c r="S30" s="1570"/>
      <c r="T30" s="1569"/>
      <c r="U30" s="1570"/>
      <c r="V30" s="1569"/>
      <c r="W30" s="1570"/>
      <c r="X30" s="1571"/>
      <c r="Y30" s="3396"/>
      <c r="Z30" s="1150"/>
      <c r="AA30" s="1577">
        <v>1</v>
      </c>
      <c r="AB30" s="1577">
        <v>1</v>
      </c>
      <c r="AC30" s="1577">
        <v>1</v>
      </c>
    </row>
    <row r="31" spans="1:29" s="1220" customFormat="1" ht="28.5">
      <c r="A31" s="577"/>
      <c r="B31" s="2571"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6"/>
      <c r="Q31" s="2558" t="str">
        <f t="shared" ref="Q31" si="9">B31</f>
        <v>基础设施水平</v>
      </c>
      <c r="R31" s="1569" t="s">
        <v>8</v>
      </c>
      <c r="S31" s="1570">
        <f>F31</f>
        <v>100</v>
      </c>
      <c r="T31" s="1569" t="s">
        <v>8</v>
      </c>
      <c r="U31" s="1570">
        <f>H31</f>
        <v>100</v>
      </c>
      <c r="V31" s="1569" t="s">
        <v>8</v>
      </c>
      <c r="W31" s="1570">
        <f>J31</f>
        <v>100</v>
      </c>
      <c r="X31" s="1571"/>
      <c r="Y31" s="3396"/>
      <c r="Z31" s="2555" t="str">
        <f>Q31</f>
        <v>基础设施水平</v>
      </c>
      <c r="AA31" s="1577">
        <f>D31/F31</f>
        <v>1</v>
      </c>
      <c r="AB31" s="1577">
        <f>D31/H31</f>
        <v>1</v>
      </c>
      <c r="AC31" s="1577">
        <f>D31/J31</f>
        <v>1</v>
      </c>
    </row>
    <row r="32" spans="1:29" s="1220" customFormat="1" ht="20.25">
      <c r="A32" s="577"/>
      <c r="B32" s="566"/>
      <c r="C32" s="579" t="s">
        <v>3028</v>
      </c>
      <c r="D32" s="557"/>
      <c r="E32" s="579" t="s">
        <v>3028</v>
      </c>
      <c r="F32" s="555"/>
      <c r="G32" s="579" t="s">
        <v>3028</v>
      </c>
      <c r="H32" s="555"/>
      <c r="I32" s="579" t="s">
        <v>3028</v>
      </c>
      <c r="J32" s="555"/>
      <c r="K32" s="531"/>
      <c r="L32" s="2136"/>
      <c r="M32" s="2133"/>
      <c r="N32" s="2133"/>
      <c r="O32" s="2138"/>
      <c r="P32" s="3396"/>
      <c r="Q32" s="2558"/>
      <c r="R32" s="1569"/>
      <c r="S32" s="1570"/>
      <c r="T32" s="1569"/>
      <c r="U32" s="1570"/>
      <c r="V32" s="1569"/>
      <c r="W32" s="1570"/>
      <c r="X32" s="1571"/>
      <c r="Y32" s="3396"/>
      <c r="Z32" s="2555"/>
      <c r="AA32" s="1577">
        <v>1</v>
      </c>
      <c r="AB32" s="1577">
        <v>1</v>
      </c>
      <c r="AC32" s="1577">
        <v>1</v>
      </c>
    </row>
    <row r="33" spans="1:29" ht="20.25">
      <c r="A33" s="532"/>
      <c r="B33" s="566" t="s">
        <v>547</v>
      </c>
      <c r="C33" s="580" t="s">
        <v>3033</v>
      </c>
      <c r="D33" s="575">
        <v>100</v>
      </c>
      <c r="E33" s="583" t="s">
        <v>3034</v>
      </c>
      <c r="F33" s="540">
        <f>SUMIF(106:106,E33,107:107)-SUMIF(106:106,C33,107:107)+100</f>
        <v>97</v>
      </c>
      <c r="G33" s="580" t="s">
        <v>3033</v>
      </c>
      <c r="H33" s="540">
        <f>SUMIF(106:106,G33,107:107)-SUMIF(106:106,C33,107:107)+100</f>
        <v>100</v>
      </c>
      <c r="I33" s="580" t="s">
        <v>3034</v>
      </c>
      <c r="J33" s="540">
        <f>SUMIF(106:106,I33,107:107)-SUMIF(106:106,C33,107:107)+100</f>
        <v>97</v>
      </c>
      <c r="K33" s="535">
        <v>3</v>
      </c>
      <c r="L33" s="2143"/>
      <c r="M33" s="2133"/>
      <c r="N33" s="2133"/>
      <c r="O33" s="2142"/>
      <c r="P33" s="3396"/>
      <c r="Q33" s="1573" t="str">
        <f t="shared" si="8"/>
        <v>临街状况</v>
      </c>
      <c r="R33" s="1574" t="s">
        <v>8</v>
      </c>
      <c r="S33" s="1575">
        <f t="shared" ref="S33:S47" si="10">F33</f>
        <v>97</v>
      </c>
      <c r="T33" s="1574" t="s">
        <v>8</v>
      </c>
      <c r="U33" s="1575">
        <f t="shared" ref="U33:U47" si="11">H33</f>
        <v>100</v>
      </c>
      <c r="V33" s="1574" t="s">
        <v>8</v>
      </c>
      <c r="W33" s="1575">
        <f t="shared" ref="W33:W47" si="12">J33</f>
        <v>97</v>
      </c>
      <c r="X33" s="1568"/>
      <c r="Y33" s="3396"/>
      <c r="Z33" s="1576" t="str">
        <f t="shared" ref="Z33:Z47" si="13">Q33</f>
        <v>临街状况</v>
      </c>
      <c r="AA33" s="1577">
        <f t="shared" si="3"/>
        <v>1.0309278350515463</v>
      </c>
      <c r="AB33" s="1577">
        <f t="shared" si="4"/>
        <v>1</v>
      </c>
      <c r="AC33" s="1577">
        <f t="shared" si="5"/>
        <v>1.0309278350515463</v>
      </c>
    </row>
    <row r="34" spans="1:29" ht="27">
      <c r="A34" s="532"/>
      <c r="B34" s="578" t="s">
        <v>548</v>
      </c>
      <c r="C34" s="562"/>
      <c r="D34" s="563">
        <v>100</v>
      </c>
      <c r="E34" s="564"/>
      <c r="F34" s="559">
        <f>SUMIF(108:108,E35,109:109)-SUMIF(108:108,C35,109:109)+100</f>
        <v>100</v>
      </c>
      <c r="G34" s="562"/>
      <c r="H34" s="559">
        <f>SUMIF(108:108,G35,109:109)-SUMIF(108:108,C35,109:109)+100</f>
        <v>102</v>
      </c>
      <c r="I34" s="564"/>
      <c r="J34" s="559">
        <f>SUMIF(108:108,I35,109:109)-SUMIF(108:108,C35,109:109)+100</f>
        <v>102</v>
      </c>
      <c r="K34" s="535">
        <v>2</v>
      </c>
      <c r="L34" s="2143"/>
      <c r="M34" s="2133"/>
      <c r="N34" s="2133"/>
      <c r="O34" s="2142"/>
      <c r="P34" s="3396"/>
      <c r="Q34" s="1573" t="str">
        <f t="shared" si="8"/>
        <v>毗邻道路的类型与等级</v>
      </c>
      <c r="R34" s="1574" t="s">
        <v>8</v>
      </c>
      <c r="S34" s="1575">
        <f t="shared" si="10"/>
        <v>100</v>
      </c>
      <c r="T34" s="1574" t="s">
        <v>8</v>
      </c>
      <c r="U34" s="1575">
        <f t="shared" si="11"/>
        <v>102</v>
      </c>
      <c r="V34" s="1574" t="s">
        <v>8</v>
      </c>
      <c r="W34" s="1575">
        <f t="shared" si="12"/>
        <v>102</v>
      </c>
      <c r="X34" s="1568"/>
      <c r="Y34" s="3396"/>
      <c r="Z34" s="1576" t="str">
        <f t="shared" si="13"/>
        <v>毗邻道路的类型与等级</v>
      </c>
      <c r="AA34" s="1577">
        <f t="shared" si="3"/>
        <v>1</v>
      </c>
      <c r="AB34" s="1577">
        <f t="shared" si="4"/>
        <v>0.98039215686274506</v>
      </c>
      <c r="AC34" s="1577">
        <f t="shared" si="5"/>
        <v>0.98039215686274506</v>
      </c>
    </row>
    <row r="35" spans="1:29" ht="21" thickBot="1">
      <c r="A35" s="532"/>
      <c r="B35" s="566"/>
      <c r="C35" s="554" t="s">
        <v>3031</v>
      </c>
      <c r="D35" s="557"/>
      <c r="E35" s="554" t="s">
        <v>3031</v>
      </c>
      <c r="F35" s="555"/>
      <c r="G35" s="554" t="s">
        <v>3030</v>
      </c>
      <c r="H35" s="555"/>
      <c r="I35" s="554" t="s">
        <v>3030</v>
      </c>
      <c r="J35" s="555"/>
      <c r="K35" s="581"/>
      <c r="L35" s="2143"/>
      <c r="M35" s="2133"/>
      <c r="N35" s="2133"/>
      <c r="O35" s="2142"/>
      <c r="P35" s="3396"/>
      <c r="Q35" s="1573"/>
      <c r="R35" s="1574"/>
      <c r="S35" s="1575"/>
      <c r="T35" s="1574"/>
      <c r="U35" s="1575"/>
      <c r="V35" s="1574"/>
      <c r="W35" s="1575"/>
      <c r="X35" s="1568"/>
      <c r="Y35" s="3396"/>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7" t="s">
        <v>550</v>
      </c>
      <c r="Q38" s="1573">
        <f t="shared" si="8"/>
        <v>111</v>
      </c>
      <c r="R38" s="1574" t="s">
        <v>8</v>
      </c>
      <c r="S38" s="1575">
        <f t="shared" si="10"/>
        <v>100</v>
      </c>
      <c r="T38" s="1574" t="s">
        <v>8</v>
      </c>
      <c r="U38" s="1575">
        <f t="shared" si="11"/>
        <v>100</v>
      </c>
      <c r="V38" s="1574" t="s">
        <v>8</v>
      </c>
      <c r="W38" s="1575">
        <f t="shared" si="12"/>
        <v>100</v>
      </c>
      <c r="X38" s="1568"/>
      <c r="Y38" s="3398"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886" t="s">
        <v>2755</v>
      </c>
      <c r="B40" s="595" t="s">
        <v>552</v>
      </c>
      <c r="C40" s="596">
        <f>'数据-汇总表'!D3</f>
        <v>35517.65</v>
      </c>
      <c r="D40" s="597">
        <v>100</v>
      </c>
      <c r="E40" s="596">
        <v>12855.06</v>
      </c>
      <c r="F40" s="597">
        <f>LOOKUP(E40,119:119,120:120)-LOOKUP(C40,119:119,120:120)+100</f>
        <v>100</v>
      </c>
      <c r="G40" s="596">
        <v>20274.78</v>
      </c>
      <c r="H40" s="597">
        <f>LOOKUP(G40,119:119,120:120)-LOOKUP(C40,119:119,120:120)+100</f>
        <v>100</v>
      </c>
      <c r="I40" s="598">
        <v>2596.8200000000002</v>
      </c>
      <c r="J40" s="597">
        <f>LOOKUP(I40,119:119,120:120)-LOOKUP(C40,119:119,120:120)+100</f>
        <v>100</v>
      </c>
      <c r="K40" s="581"/>
      <c r="L40" s="2143"/>
      <c r="M40" s="2133"/>
      <c r="N40" s="2133"/>
      <c r="O40" s="2142"/>
      <c r="P40" s="3398"/>
      <c r="Q40" s="1573" t="str">
        <f>B40</f>
        <v>宗地面积</v>
      </c>
      <c r="R40" s="1574" t="s">
        <v>8</v>
      </c>
      <c r="S40" s="1575">
        <f t="shared" si="10"/>
        <v>100</v>
      </c>
      <c r="T40" s="1574" t="s">
        <v>8</v>
      </c>
      <c r="U40" s="1575">
        <f t="shared" si="11"/>
        <v>100</v>
      </c>
      <c r="V40" s="1574" t="s">
        <v>8</v>
      </c>
      <c r="W40" s="1575">
        <f t="shared" si="12"/>
        <v>100</v>
      </c>
      <c r="X40" s="1568"/>
      <c r="Y40" s="3398"/>
      <c r="Z40" s="1576" t="str">
        <f t="shared" si="13"/>
        <v>宗地面积</v>
      </c>
      <c r="AA40" s="1577">
        <f t="shared" si="3"/>
        <v>1</v>
      </c>
      <c r="AB40" s="1577">
        <f t="shared" si="4"/>
        <v>1</v>
      </c>
      <c r="AC40" s="1577">
        <f t="shared" si="5"/>
        <v>1</v>
      </c>
    </row>
    <row r="41" spans="1:29" ht="20.25">
      <c r="A41" s="594"/>
      <c r="B41" s="527" t="s">
        <v>553</v>
      </c>
      <c r="C41" s="599" t="s">
        <v>3035</v>
      </c>
      <c r="D41" s="540">
        <v>100</v>
      </c>
      <c r="E41" s="599" t="s">
        <v>3035</v>
      </c>
      <c r="F41" s="540">
        <f>SUMIF(121:121,E41,122:122)-SUMIF(121:121,C41,122:122)+100</f>
        <v>100</v>
      </c>
      <c r="G41" s="599" t="s">
        <v>3035</v>
      </c>
      <c r="H41" s="540">
        <f>SUMIF(121:121,G41,122:122)-SUMIF(121:121,C41,122:122)+100</f>
        <v>100</v>
      </c>
      <c r="I41" s="599" t="s">
        <v>3035</v>
      </c>
      <c r="J41" s="540">
        <f>SUMIF(121:121,I41,122:122)-SUMIF(121:121,C41,122:122)+100</f>
        <v>100</v>
      </c>
      <c r="K41" s="584">
        <v>2</v>
      </c>
      <c r="L41" s="2143"/>
      <c r="M41" s="2133"/>
      <c r="N41" s="2133"/>
      <c r="O41" s="2142"/>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554</v>
      </c>
      <c r="C42" s="599" t="s">
        <v>3037</v>
      </c>
      <c r="D42" s="540">
        <v>100</v>
      </c>
      <c r="E42" s="599" t="s">
        <v>3037</v>
      </c>
      <c r="F42" s="540">
        <f>SUMIF(123:123,E42,124:124)-SUMIF(123:123,C42,124:124)+100</f>
        <v>100</v>
      </c>
      <c r="G42" s="599" t="s">
        <v>3037</v>
      </c>
      <c r="H42" s="540">
        <f>SUMIF(123:123,G42,124:124)-SUMIF(123:123,C42,124:124)+100</f>
        <v>100</v>
      </c>
      <c r="I42" s="599" t="s">
        <v>3037</v>
      </c>
      <c r="J42" s="540">
        <f>SUMIF(123:123,I42,124:124)-SUMIF(123:123,C42,124:124)+100</f>
        <v>100</v>
      </c>
      <c r="K42" s="584">
        <v>2</v>
      </c>
      <c r="L42" s="2143"/>
      <c r="M42" s="2133"/>
      <c r="N42" s="2133"/>
      <c r="O42" s="2142"/>
      <c r="P42" s="3398"/>
      <c r="Q42" s="1573" t="str">
        <f t="shared" si="14"/>
        <v>临街宽度及深度</v>
      </c>
      <c r="R42" s="1574" t="s">
        <v>8</v>
      </c>
      <c r="S42" s="1575">
        <f t="shared" si="10"/>
        <v>100</v>
      </c>
      <c r="T42" s="1574" t="s">
        <v>8</v>
      </c>
      <c r="U42" s="1575">
        <f t="shared" si="11"/>
        <v>100</v>
      </c>
      <c r="V42" s="1574" t="s">
        <v>8</v>
      </c>
      <c r="W42" s="1575">
        <f t="shared" si="12"/>
        <v>100</v>
      </c>
      <c r="X42" s="1568"/>
      <c r="Y42" s="3398"/>
      <c r="Z42" s="1576" t="str">
        <f t="shared" si="13"/>
        <v>临街宽度及深度</v>
      </c>
      <c r="AA42" s="1577">
        <f t="shared" si="3"/>
        <v>1</v>
      </c>
      <c r="AB42" s="1577">
        <f t="shared" si="4"/>
        <v>1</v>
      </c>
      <c r="AC42" s="1577">
        <f t="shared" si="5"/>
        <v>1</v>
      </c>
    </row>
    <row r="43" spans="1:29" s="1220" customFormat="1" ht="20.25" hidden="1">
      <c r="A43" s="600"/>
      <c r="B43" s="1896" t="s">
        <v>2425</v>
      </c>
      <c r="C43" s="601" t="s">
        <v>3040</v>
      </c>
      <c r="D43" s="255">
        <v>100</v>
      </c>
      <c r="E43" s="601" t="s">
        <v>3040</v>
      </c>
      <c r="F43" s="540">
        <f>SUMIF(125:125,E43,126:126)-SUMIF(125:125,C43,126:126)+100</f>
        <v>100</v>
      </c>
      <c r="G43" s="601" t="s">
        <v>3040</v>
      </c>
      <c r="H43" s="540">
        <f>SUMIF(125:125,G43,126:126)-SUMIF(125:125,C43,126:126)+100</f>
        <v>100</v>
      </c>
      <c r="I43" s="601" t="s">
        <v>3040</v>
      </c>
      <c r="J43" s="540">
        <f>SUMIF(125:125,I43,126:126)-SUMIF(125:125,C43,126:126)+100</f>
        <v>100</v>
      </c>
      <c r="K43" s="584">
        <v>2</v>
      </c>
      <c r="L43" s="2136"/>
      <c r="M43" s="2133"/>
      <c r="N43" s="2133"/>
      <c r="O43" s="2138"/>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1" thickBot="1">
      <c r="A44" s="594"/>
      <c r="B44" s="527" t="s">
        <v>555</v>
      </c>
      <c r="C44" s="599" t="s">
        <v>3027</v>
      </c>
      <c r="D44" s="540">
        <v>100</v>
      </c>
      <c r="E44" s="599" t="s">
        <v>3027</v>
      </c>
      <c r="F44" s="540">
        <f>SUMIF(127:127,E44,128:128)-SUMIF(127:127,C44,128:128)+100</f>
        <v>100</v>
      </c>
      <c r="G44" s="599" t="s">
        <v>3027</v>
      </c>
      <c r="H44" s="540">
        <f>SUMIF(127:127,G44,128:128)-SUMIF(127:127,C44,128:128)+100</f>
        <v>100</v>
      </c>
      <c r="I44" s="599" t="s">
        <v>3027</v>
      </c>
      <c r="J44" s="540">
        <f>SUMIF(127:127,I44,128:128)-SUMIF(127:127,C44,128:128)+100</f>
        <v>100</v>
      </c>
      <c r="K44" s="584">
        <v>2</v>
      </c>
      <c r="L44" s="2143"/>
      <c r="M44" s="2133"/>
      <c r="N44" s="2133"/>
      <c r="O44" s="2142"/>
      <c r="P44" s="3398" t="s">
        <v>550</v>
      </c>
      <c r="Q44" s="1573" t="str">
        <f t="shared" si="14"/>
        <v>工程地质条件</v>
      </c>
      <c r="R44" s="1574" t="s">
        <v>8</v>
      </c>
      <c r="S44" s="1575">
        <f t="shared" si="10"/>
        <v>100</v>
      </c>
      <c r="T44" s="1574" t="s">
        <v>8</v>
      </c>
      <c r="U44" s="1575">
        <f t="shared" si="11"/>
        <v>100</v>
      </c>
      <c r="V44" s="1574" t="s">
        <v>8</v>
      </c>
      <c r="W44" s="1575">
        <f t="shared" si="12"/>
        <v>100</v>
      </c>
      <c r="X44" s="1568"/>
      <c r="Y44" s="3398"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556</v>
      </c>
      <c r="B48" s="608" t="s">
        <v>3023</v>
      </c>
      <c r="C48" s="609" t="s">
        <v>1</v>
      </c>
      <c r="D48" s="610"/>
      <c r="E48" s="611">
        <f>ROUNDDOWN(6005.73,0)</f>
        <v>6005</v>
      </c>
      <c r="F48" s="612"/>
      <c r="G48" s="613">
        <f>ROUNDDOWN(7162.22,0)</f>
        <v>7162</v>
      </c>
      <c r="H48" s="614"/>
      <c r="I48" s="611">
        <f>ROUNDDOWN(7425.93,0)</f>
        <v>7425</v>
      </c>
      <c r="J48" s="614"/>
      <c r="K48" s="1340"/>
      <c r="L48" s="2145"/>
      <c r="M48" s="2133"/>
      <c r="N48" s="2133"/>
      <c r="O48" s="2146"/>
      <c r="P48" s="3393" t="str">
        <f>A48</f>
        <v>成交单价</v>
      </c>
      <c r="Q48" s="3393"/>
      <c r="R48" s="3407">
        <f>E48</f>
        <v>6005</v>
      </c>
      <c r="S48" s="3407"/>
      <c r="T48" s="3407">
        <f>G48</f>
        <v>7162</v>
      </c>
      <c r="U48" s="3407"/>
      <c r="V48" s="3407">
        <f>I48</f>
        <v>7425</v>
      </c>
      <c r="W48" s="3407"/>
      <c r="X48" s="1560"/>
      <c r="Y48" s="1582"/>
      <c r="Z48" s="1560"/>
      <c r="AA48" s="1560"/>
      <c r="AB48" s="1560"/>
      <c r="AC48" s="1560"/>
    </row>
    <row r="49" spans="1:29" ht="21" thickBot="1">
      <c r="A49" s="615" t="s">
        <v>2693</v>
      </c>
      <c r="B49" s="616"/>
      <c r="C49" s="617">
        <f>R50</f>
        <v>5846</v>
      </c>
      <c r="D49" s="618"/>
      <c r="E49" s="617">
        <f>R49</f>
        <v>5327</v>
      </c>
      <c r="F49" s="619"/>
      <c r="G49" s="620">
        <f>T49</f>
        <v>6073</v>
      </c>
      <c r="H49" s="618"/>
      <c r="I49" s="617">
        <f>V49</f>
        <v>6137</v>
      </c>
      <c r="J49" s="618"/>
      <c r="K49" s="1341"/>
      <c r="L49" s="2145"/>
      <c r="M49" s="2133"/>
      <c r="N49" s="2133"/>
      <c r="O49" s="2146"/>
      <c r="P49" s="3393" t="str">
        <f>A49</f>
        <v>比较价格（元/平方米）</v>
      </c>
      <c r="Q49" s="3393"/>
      <c r="R49" s="3417">
        <f>ROUND(PRODUCT(R48,AA9:AA47),0)</f>
        <v>5327</v>
      </c>
      <c r="S49" s="3417"/>
      <c r="T49" s="3417">
        <f>ROUND(PRODUCT(T48,AB9:AB47),0)</f>
        <v>6073</v>
      </c>
      <c r="U49" s="3417"/>
      <c r="V49" s="3417">
        <f>ROUND(PRODUCT(V48,AC9:AC47),0)</f>
        <v>6137</v>
      </c>
      <c r="W49" s="3417"/>
      <c r="X49" s="1560"/>
      <c r="Y49" s="1560"/>
      <c r="Z49" s="1560"/>
      <c r="AA49" s="1560"/>
      <c r="AB49" s="1560"/>
      <c r="AC49" s="1560"/>
    </row>
    <row r="50" spans="1:29" ht="21" thickBot="1">
      <c r="A50" s="621" t="s">
        <v>2935</v>
      </c>
      <c r="B50" s="622"/>
      <c r="C50" s="623">
        <f>R50</f>
        <v>5846</v>
      </c>
      <c r="D50" s="623"/>
      <c r="E50" s="623"/>
      <c r="F50" s="623"/>
      <c r="G50" s="623"/>
      <c r="H50" s="623"/>
      <c r="I50" s="623"/>
      <c r="J50" s="623"/>
      <c r="K50" s="1342"/>
      <c r="L50" s="2145"/>
      <c r="M50" s="2133"/>
      <c r="N50" s="2133"/>
      <c r="O50" s="2146"/>
      <c r="P50" s="3414" t="str">
        <f>A50</f>
        <v>估价对象XX用房的比较价格（楼面单价，元/平方米）</v>
      </c>
      <c r="Q50" s="3415"/>
      <c r="R50" s="3416">
        <f>ROUND(AVERAGE(R49:V49),0)</f>
        <v>5846</v>
      </c>
      <c r="S50" s="3416"/>
      <c r="T50" s="3416"/>
      <c r="U50" s="3416"/>
      <c r="V50" s="3416"/>
      <c r="W50" s="341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0.12727614041674484</v>
      </c>
      <c r="F53" s="627" t="str">
        <f>IF(OR(E53&gt;=0.3,E53&lt;=-0.3),"超过30%","")</f>
        <v/>
      </c>
      <c r="G53" s="626">
        <f>IF(G48&lt;G49,G49/G48-1,G48/G49-1)</f>
        <v>0.1793182940885889</v>
      </c>
      <c r="H53" s="627" t="str">
        <f>IF(OR(G53&gt;=0.3,G53&lt;=-0.3),"超过30%","")</f>
        <v/>
      </c>
      <c r="I53" s="626">
        <f>IF(I48&lt;I49,I49/I48-1,I48/I49-1)</f>
        <v>0.20987453153006363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0.1400412990426132</v>
      </c>
      <c r="F54" s="627" t="str">
        <f>IF(OR(E54&gt;=0.2,E54&lt;=-0.2),"超过20%","")</f>
        <v/>
      </c>
      <c r="G54" s="626">
        <f>IF(G49&lt;I49,I49/G49-1,G49/I49-1)</f>
        <v>1.0538448872056572E-2</v>
      </c>
      <c r="H54" s="627" t="str">
        <f>IF(OR(G54&gt;=0.2,G54&lt;=-0.2),"超过20%","")</f>
        <v/>
      </c>
      <c r="I54" s="626">
        <f>IF(I49&lt;E49,E49/I49-1,I49/E49-1)</f>
        <v>0.15205556598460679</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0.19267277268942551</v>
      </c>
      <c r="F55" s="627" t="str">
        <f>IF(OR(E55&gt;=0.3,E55&lt;=-0.3),"超过30%","")</f>
        <v/>
      </c>
      <c r="G55" s="626">
        <f>IF(G48&lt;I48,I48/G48-1,G48/I48-1)</f>
        <v>3.6721586149120355E-2</v>
      </c>
      <c r="H55" s="627" t="str">
        <f>IF(OR(G55&gt;=0.3,G55&lt;=-0.3),"超过30%","")</f>
        <v/>
      </c>
      <c r="I55" s="626">
        <f>IF(I48&lt;E48,E48/I48-1,I48/E48-1)</f>
        <v>0.23646960865945044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7" t="s">
        <v>2282</v>
      </c>
      <c r="H57" s="3378"/>
      <c r="I57" s="1556" t="s">
        <v>1723</v>
      </c>
      <c r="J57" s="1556" t="str">
        <f>项目基本情况!F41</f>
        <v>河南省郑州市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5846</v>
      </c>
      <c r="C58" s="635">
        <v>1</v>
      </c>
      <c r="D58" s="2229">
        <v>1</v>
      </c>
      <c r="E58" s="635">
        <f>'数据-汇总表'!E8+'数据-汇总表'!E9</f>
        <v>134023</v>
      </c>
      <c r="F58" s="636">
        <f t="shared" ref="F58:F67" si="15">ROUND(B58*E58/10000,0)</f>
        <v>78350</v>
      </c>
      <c r="G58" s="3379"/>
      <c r="H58" s="338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134023</v>
      </c>
      <c r="F68" s="644">
        <f>IF(B48="楼面地价",SUM(F58:F67),ROUND(C50*E68/10000,0))</f>
        <v>78350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2532</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2647</v>
      </c>
      <c r="B73" s="479" t="str">
        <f>"北京市平均增长率"&amp;TEXT(SUMIF(基准地价!N21:N25,A73,基准地价!P21:P25),"0.00%")</f>
        <v>北京市平均增长率0.00%</v>
      </c>
      <c r="C73" s="894">
        <v>100</v>
      </c>
      <c r="D73" s="3191">
        <f>C73-$C$74</f>
        <v>99</v>
      </c>
      <c r="E73" s="3191">
        <f t="shared" ref="E73:M73" si="20">D73-$C$74</f>
        <v>98</v>
      </c>
      <c r="F73" s="3191">
        <f t="shared" si="20"/>
        <v>97</v>
      </c>
      <c r="G73" s="3191">
        <f t="shared" si="20"/>
        <v>96</v>
      </c>
      <c r="H73" s="3191">
        <f t="shared" si="20"/>
        <v>95</v>
      </c>
      <c r="I73" s="3191">
        <f t="shared" si="20"/>
        <v>94</v>
      </c>
      <c r="J73" s="3191">
        <f t="shared" si="20"/>
        <v>93</v>
      </c>
      <c r="K73" s="3191">
        <f t="shared" si="20"/>
        <v>92</v>
      </c>
      <c r="L73" s="3191">
        <f t="shared" si="20"/>
        <v>91</v>
      </c>
      <c r="M73" s="3191">
        <f t="shared" si="20"/>
        <v>90</v>
      </c>
      <c r="N73" s="3191">
        <v>88</v>
      </c>
      <c r="O73" s="3191"/>
      <c r="P73" s="2159"/>
      <c r="Q73" s="1994"/>
      <c r="R73" s="1994"/>
      <c r="S73" s="1994"/>
      <c r="T73" s="1994"/>
      <c r="U73" s="1994"/>
      <c r="V73" s="1994"/>
      <c r="W73" s="1994"/>
      <c r="X73" s="1994"/>
      <c r="Y73" s="1994"/>
      <c r="Z73" s="1994"/>
      <c r="AA73" s="1994"/>
      <c r="AB73" s="1994"/>
      <c r="AC73" s="1994"/>
    </row>
    <row r="74" spans="1:29" s="1220" customFormat="1" ht="15" customHeight="1" thickBot="1">
      <c r="A74" s="2775" t="s">
        <v>2646</v>
      </c>
      <c r="B74" s="2784"/>
      <c r="C74" s="2769">
        <v>1</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92" t="s">
        <v>3024</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2">D82+1</f>
        <v>2</v>
      </c>
      <c r="F82" s="541">
        <f t="shared" si="22"/>
        <v>3</v>
      </c>
      <c r="G82" s="541">
        <f t="shared" si="22"/>
        <v>4</v>
      </c>
      <c r="H82" s="541">
        <f t="shared" si="22"/>
        <v>5</v>
      </c>
      <c r="I82" s="541">
        <f t="shared" si="22"/>
        <v>6</v>
      </c>
      <c r="J82" s="541">
        <f t="shared" si="22"/>
        <v>7</v>
      </c>
      <c r="K82" s="541">
        <f t="shared" si="22"/>
        <v>8</v>
      </c>
      <c r="L82" s="541">
        <f t="shared" si="22"/>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97</v>
      </c>
      <c r="E107" s="679">
        <f t="shared" ref="E107:M107" si="24">D107-$K33</f>
        <v>94</v>
      </c>
      <c r="F107" s="679">
        <f t="shared" si="24"/>
        <v>91</v>
      </c>
      <c r="G107" s="679">
        <f t="shared" si="24"/>
        <v>88</v>
      </c>
      <c r="H107" s="679">
        <f t="shared" si="24"/>
        <v>85</v>
      </c>
      <c r="I107" s="679">
        <f t="shared" si="24"/>
        <v>82</v>
      </c>
      <c r="J107" s="679">
        <f t="shared" si="24"/>
        <v>79</v>
      </c>
      <c r="K107" s="679">
        <f t="shared" si="24"/>
        <v>76</v>
      </c>
      <c r="L107" s="679">
        <f t="shared" si="24"/>
        <v>73</v>
      </c>
      <c r="M107" s="679">
        <f t="shared" si="24"/>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t="s">
        <v>3029</v>
      </c>
      <c r="D108" s="688" t="s">
        <v>3030</v>
      </c>
      <c r="E108" s="688" t="s">
        <v>3031</v>
      </c>
      <c r="F108" s="688" t="s">
        <v>3032</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7">C119&amp;"(含)"&amp;"-"&amp;D119</f>
        <v>1(含)-50000</v>
      </c>
      <c r="D118" s="704" t="str">
        <f t="shared" si="27"/>
        <v>50000(含)-100000</v>
      </c>
      <c r="E118" s="704" t="str">
        <f t="shared" si="27"/>
        <v>100000(含)-150000</v>
      </c>
      <c r="F118" s="704" t="str">
        <f t="shared" si="27"/>
        <v>150000(含)-</v>
      </c>
      <c r="G118" s="704" t="str">
        <f t="shared" si="27"/>
        <v>(含)-</v>
      </c>
      <c r="H118" s="704" t="str">
        <f t="shared" si="27"/>
        <v>(含)-</v>
      </c>
      <c r="I118" s="704" t="str">
        <f t="shared" si="27"/>
        <v>(含)-</v>
      </c>
      <c r="J118" s="3066" t="str">
        <f t="shared" si="27"/>
        <v>(含)-</v>
      </c>
      <c r="K118" s="3066" t="str">
        <f t="shared" si="27"/>
        <v>(含)-</v>
      </c>
      <c r="L118" s="3067" t="str">
        <f t="shared" si="27"/>
        <v>(含)-</v>
      </c>
      <c r="M118" s="306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1</v>
      </c>
      <c r="D119" s="730">
        <v>50000</v>
      </c>
      <c r="E119" s="730">
        <v>100000</v>
      </c>
      <c r="F119" s="730">
        <v>150000</v>
      </c>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3" t="s">
        <v>3036</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4" t="s">
        <v>3038</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3039</v>
      </c>
      <c r="D125" s="1376" t="s">
        <v>3040</v>
      </c>
      <c r="E125" s="1376" t="s">
        <v>3041</v>
      </c>
      <c r="F125" s="1376" t="s">
        <v>3042</v>
      </c>
      <c r="G125" s="1376" t="s">
        <v>3043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4" t="s">
        <v>3044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90646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4949</v>
      </c>
      <c r="C3" s="2105"/>
      <c r="D3" s="2105"/>
      <c r="E3" s="2105"/>
      <c r="F3" s="2105"/>
      <c r="G3" s="2105"/>
      <c r="H3" s="2105"/>
      <c r="I3" s="2105"/>
      <c r="J3" s="2105"/>
      <c r="K3" s="2105"/>
    </row>
    <row r="4" spans="1:31" s="2042" customFormat="1" ht="18" customHeight="1">
      <c r="A4" s="426" t="s">
        <v>468</v>
      </c>
      <c r="B4" s="427">
        <f ca="1">ROUND(B2*10000/IF(B1="",'数据-汇总表'!D3,INDIRECT("'数据-取费表'!R"&amp;$K$1)),0)</f>
        <v>25521</v>
      </c>
      <c r="C4" s="428"/>
      <c r="D4" s="422"/>
      <c r="E4" s="422"/>
      <c r="F4" s="422"/>
      <c r="G4" s="422"/>
      <c r="H4" s="422"/>
      <c r="I4" s="422"/>
      <c r="J4" s="422"/>
      <c r="K4" s="422"/>
    </row>
    <row r="5" spans="1:31" s="2042" customFormat="1" ht="18" customHeight="1" thickBot="1">
      <c r="A5" s="429"/>
      <c r="B5" s="430">
        <f ca="1">ROUND(B2/(IF(B1="",'数据-汇总表'!D3,INDIRECT("'数据-取费表'!R"&amp;$K$1))/666.67),0)</f>
        <v>1701</v>
      </c>
      <c r="C5" s="431" t="s">
        <v>469</v>
      </c>
      <c r="D5" s="422"/>
      <c r="E5" s="422"/>
      <c r="F5" s="422"/>
      <c r="G5" s="422"/>
      <c r="H5" s="422"/>
      <c r="I5" s="422"/>
      <c r="J5" s="422"/>
      <c r="K5" s="422"/>
    </row>
    <row r="6" spans="1:31" s="2112" customFormat="1" ht="16.5" customHeight="1">
      <c r="A6" s="2807" t="s">
        <v>1843</v>
      </c>
      <c r="B6" s="2808"/>
      <c r="C6" s="2809">
        <f ca="1">SUM(C10:K10)</f>
        <v>216370.97950000002</v>
      </c>
      <c r="D6" s="2808"/>
      <c r="E6" s="2808"/>
      <c r="F6" s="2808"/>
      <c r="G6" s="2808"/>
      <c r="H6" s="2808"/>
      <c r="I6" s="2808"/>
      <c r="J6" s="2808"/>
      <c r="K6" s="2810"/>
    </row>
    <row r="7" spans="1:31" s="2114" customFormat="1" ht="15">
      <c r="A7" s="2811" t="s">
        <v>470</v>
      </c>
      <c r="B7" s="2812" t="s">
        <v>471</v>
      </c>
      <c r="C7" s="436" t="s">
        <v>3061</v>
      </c>
      <c r="D7" s="436" t="s">
        <v>3063</v>
      </c>
      <c r="E7" s="436" t="s">
        <v>3065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'不动产收益法（商业）'!B3</f>
        <v>23247</v>
      </c>
      <c r="D8" s="2813">
        <f>'不动产比较法-平层公寓'!B3</f>
        <v>12331</v>
      </c>
      <c r="E8" s="2813">
        <f>'不动产比较法-LOFT公寓'!B3</f>
        <v>16221</v>
      </c>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15485</v>
      </c>
      <c r="D9" s="441">
        <f>SUMIF('数据-汇总表'!$C19:$C33,'剩余法-待开发'!D7,'数据-汇总表'!$E19:$E33)</f>
        <v>30612</v>
      </c>
      <c r="E9" s="441">
        <f>SUMIF('数据-汇总表'!$C19:$C33,'剩余法-待开发'!E7,'数据-汇总表'!$E19:$E33)</f>
        <v>87926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2">
        <f ca="1">C8*C9/10000</f>
        <v>35997.979500000001</v>
      </c>
      <c r="D10" s="3002">
        <f>'不动产比较法-平层公寓'!B2</f>
        <v>37748</v>
      </c>
      <c r="E10" s="3002">
        <f>'不动产比较法-LOFT公寓'!B2</f>
        <v>142625</v>
      </c>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51854</v>
      </c>
      <c r="D13" s="2823"/>
      <c r="E13" s="2824"/>
      <c r="F13" s="2825"/>
      <c r="G13" s="2791"/>
      <c r="H13" s="2792"/>
      <c r="I13" s="2792"/>
      <c r="J13" s="2792"/>
      <c r="K13" s="2793"/>
    </row>
    <row r="14" spans="1:31" s="2117" customFormat="1" ht="13.5" customHeight="1">
      <c r="A14" s="2821" t="s">
        <v>1850</v>
      </c>
      <c r="B14" s="2822" t="s">
        <v>480</v>
      </c>
      <c r="C14" s="53">
        <f ca="1">ROUND(C13*F14,0)</f>
        <v>1556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3663</v>
      </c>
      <c r="D16" s="2823">
        <f ca="1">IF(B1="",'数据-汇总表'!E3,INDIRECT("'数据-取费表'!K"&amp;$K$1)+INDIRECT("'数据-取费表'!S"&amp;$K$1))</f>
        <v>183164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778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57851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183164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3114</v>
      </c>
      <c r="D20" s="2833"/>
      <c r="E20" s="2787"/>
      <c r="F20" s="2834"/>
      <c r="G20" s="3062"/>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170</v>
      </c>
      <c r="F21" s="2826"/>
      <c r="G21" s="26"/>
      <c r="H21" s="51"/>
      <c r="I21" s="51"/>
      <c r="J21" s="51"/>
      <c r="K21" s="2798"/>
    </row>
    <row r="22" spans="1:14" s="2117" customFormat="1" ht="13.5" customHeight="1">
      <c r="A22" s="2821" t="s">
        <v>1858</v>
      </c>
      <c r="B22" s="2822" t="s">
        <v>492</v>
      </c>
      <c r="C22" s="53">
        <f ca="1">ROUND(D22*E22/10000,0)</f>
        <v>3114</v>
      </c>
      <c r="D22" s="2823">
        <f ca="1">IF(B1="",'数据-汇总表'!E6,IF(INDIRECT("'数据-取费表'!c"&amp;$K$1)="住宅",INDIRECT("'数据-取费表'!s"&amp;$K$1),INDIRECT("'数据-取费表'!k"&amp;$K$1)+INDIRECT("'数据-取费表'!s"&amp;$K$1)))</f>
        <v>183164</v>
      </c>
      <c r="E22" s="53">
        <f>'数据-取费表'!B28</f>
        <v>170</v>
      </c>
      <c r="F22" s="2826"/>
      <c r="G22" s="26"/>
      <c r="H22" s="51"/>
      <c r="I22" s="51"/>
      <c r="J22" s="51"/>
      <c r="K22" s="2798"/>
    </row>
    <row r="23" spans="1:14" s="2117" customFormat="1" ht="13.5" customHeight="1">
      <c r="A23" s="2829" t="s">
        <v>1859</v>
      </c>
      <c r="B23" s="3008" t="s">
        <v>2834</v>
      </c>
      <c r="C23" s="2831">
        <f ca="1">ROUND((C18+C19+C20)*F23,0)</f>
        <v>1219</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08" t="s">
        <v>2837</v>
      </c>
      <c r="C24" s="2831">
        <f ca="1">ROUND(C6*F24,0)</f>
        <v>5409</v>
      </c>
      <c r="D24" s="475"/>
      <c r="E24" s="473"/>
      <c r="F24" s="2835">
        <f>'数据-取费表'!B38</f>
        <v>2.5000000000000001E-2</v>
      </c>
      <c r="G24" s="2800" t="s">
        <v>499</v>
      </c>
      <c r="H24" s="2794"/>
      <c r="I24" s="2794"/>
      <c r="J24" s="2794"/>
      <c r="K24" s="279"/>
      <c r="L24" s="2119"/>
      <c r="M24" s="2119"/>
      <c r="N24" s="2119"/>
    </row>
    <row r="25" spans="1:14" s="2120" customFormat="1" ht="13.5" customHeight="1">
      <c r="A25" s="2829" t="s">
        <v>1861</v>
      </c>
      <c r="B25" s="3008" t="s">
        <v>2835</v>
      </c>
      <c r="C25" s="467">
        <f>ROUND(F25/(1+'数据-取费表'!C42),4)</f>
        <v>3.8600000000000002E-2</v>
      </c>
      <c r="D25" s="462" t="s">
        <v>2829</v>
      </c>
      <c r="E25" s="469"/>
      <c r="F25" s="2835">
        <f>'数据-取费表'!B48+'数据-取费表'!B49</f>
        <v>4.0500000000000001E-2</v>
      </c>
      <c r="G25" s="2799" t="s">
        <v>2290</v>
      </c>
      <c r="H25" s="2792"/>
      <c r="I25" s="2792"/>
      <c r="J25" s="2792"/>
      <c r="K25" s="2793"/>
    </row>
    <row r="26" spans="1:14" s="2119" customFormat="1" ht="13.5" customHeight="1">
      <c r="A26" s="2829" t="s">
        <v>1862</v>
      </c>
      <c r="B26" s="3009" t="s">
        <v>2836</v>
      </c>
      <c r="C26" s="2836">
        <f ca="1">C28</f>
        <v>3211</v>
      </c>
      <c r="D26" s="467">
        <f ca="1">C27</f>
        <v>0.10100000000000001</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0.10100000000000001</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3211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11540</v>
      </c>
      <c r="D29" s="468"/>
      <c r="E29" s="468"/>
      <c r="F29" s="3010">
        <f>'数据-取费表'!B41</f>
        <v>5.6000000000000001E-2</v>
      </c>
      <c r="G29" s="2800" t="s">
        <v>498</v>
      </c>
      <c r="H29" s="2792"/>
      <c r="I29" s="2792"/>
      <c r="J29" s="2792"/>
      <c r="K29" s="2793"/>
    </row>
    <row r="30" spans="1:14" s="2122" customFormat="1" ht="13.5" customHeight="1">
      <c r="A30" s="1636" t="s">
        <v>1864</v>
      </c>
      <c r="B30" s="2841" t="s">
        <v>500</v>
      </c>
      <c r="C30" s="2836">
        <f ca="1">C31</f>
        <v>82344</v>
      </c>
      <c r="D30" s="477">
        <f ca="1">C32</f>
        <v>0.1396</v>
      </c>
      <c r="E30" s="469" t="s">
        <v>495</v>
      </c>
      <c r="F30" s="471"/>
      <c r="G30" s="2799" t="s">
        <v>2974</v>
      </c>
      <c r="H30" s="2792"/>
      <c r="I30" s="2792"/>
      <c r="J30" s="2792"/>
      <c r="K30" s="2793"/>
    </row>
    <row r="31" spans="1:14" s="2121" customFormat="1" ht="13.5" customHeight="1">
      <c r="A31" s="803" t="s">
        <v>1857</v>
      </c>
      <c r="B31" s="2837"/>
      <c r="C31" s="450">
        <f ca="1">C18+C19+C20+C23+C24+C26+C29</f>
        <v>82344</v>
      </c>
      <c r="D31" s="472"/>
      <c r="E31" s="473"/>
      <c r="F31" s="474"/>
      <c r="G31" s="261"/>
      <c r="H31" s="2794"/>
      <c r="I31" s="2794"/>
      <c r="J31" s="2794"/>
      <c r="K31" s="279"/>
    </row>
    <row r="32" spans="1:14" s="2121" customFormat="1" ht="13.5" customHeight="1">
      <c r="A32" s="803" t="s">
        <v>1858</v>
      </c>
      <c r="B32" s="2837"/>
      <c r="C32" s="53">
        <f ca="1">ROUND(C25+D26,4)</f>
        <v>0.1396</v>
      </c>
      <c r="D32" s="472"/>
      <c r="E32" s="473"/>
      <c r="F32" s="474"/>
      <c r="G32" s="261"/>
      <c r="H32" s="2794"/>
      <c r="I32" s="2794"/>
      <c r="J32" s="2794"/>
      <c r="K32" s="279"/>
    </row>
    <row r="33" spans="1:11" s="2123" customFormat="1" ht="13.5" customHeight="1">
      <c r="A33" s="3007" t="s">
        <v>2833</v>
      </c>
      <c r="B33" s="3005" t="s">
        <v>2831</v>
      </c>
      <c r="C33" s="478">
        <f ca="1">C35</f>
        <v>12843</v>
      </c>
      <c r="D33" s="467">
        <f ca="1">C34</f>
        <v>0.1973</v>
      </c>
      <c r="E33" s="469" t="s">
        <v>495</v>
      </c>
      <c r="F33" s="479">
        <f ca="1">IF(B1="",'数据-取费表'!Q16,INDIRECT("'数据-取费表'!q"&amp;$K$1))</f>
        <v>0.19</v>
      </c>
      <c r="G33" s="2795"/>
      <c r="H33" s="2796"/>
      <c r="I33" s="2796"/>
      <c r="J33" s="2796"/>
      <c r="K33" s="2797"/>
    </row>
    <row r="34" spans="1:11" s="2124" customFormat="1" ht="13.5" customHeight="1">
      <c r="A34" s="375" t="s">
        <v>1857</v>
      </c>
      <c r="B34" s="2842" t="s">
        <v>501</v>
      </c>
      <c r="C34" s="472">
        <f ca="1">ROUND((1+C25)*F33,4)</f>
        <v>0.1973</v>
      </c>
      <c r="D34" s="472"/>
      <c r="E34" s="473"/>
      <c r="F34" s="480"/>
      <c r="G34" s="261" t="s">
        <v>2291</v>
      </c>
      <c r="H34" s="2794"/>
      <c r="I34" s="2794"/>
      <c r="J34" s="2794"/>
      <c r="K34" s="279"/>
    </row>
    <row r="35" spans="1:11" s="2124" customFormat="1" ht="13.5" customHeight="1" thickBot="1">
      <c r="A35" s="1637" t="s">
        <v>1858</v>
      </c>
      <c r="B35" s="3006" t="s">
        <v>2839</v>
      </c>
      <c r="C35" s="1629">
        <f ca="1">ROUND((C18+C19+C20+C23+C24)*F33,0)</f>
        <v>12843</v>
      </c>
      <c r="D35" s="1630"/>
      <c r="E35" s="2843"/>
      <c r="F35" s="1631"/>
      <c r="G35" s="2801"/>
      <c r="H35" s="2802"/>
      <c r="I35" s="2802"/>
      <c r="J35" s="2802"/>
      <c r="K35" s="2803"/>
    </row>
    <row r="36" spans="1:11" s="2086" customFormat="1" ht="13.5" customHeight="1" thickBot="1">
      <c r="A36" s="284" t="s">
        <v>1845</v>
      </c>
      <c r="B36" s="2805"/>
      <c r="C36" s="2844">
        <f ca="1">ROUND((C6-C30-C33)/(1+D30+D33),0)</f>
        <v>90646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1" t="str">
        <f>项目基本情况!B1</f>
        <v>河南省郑州市金水区普庆路西、三全路南出让国有建设用地使用权抵押价格预评估</v>
      </c>
      <c r="C37" s="3211"/>
      <c r="D37" s="3211"/>
      <c r="E37" s="3211"/>
      <c r="F37" s="3211"/>
      <c r="G37" s="3211"/>
      <c r="H37" s="3211"/>
      <c r="I37" s="321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51854</v>
      </c>
      <c r="D13" s="451"/>
      <c r="E13" s="365"/>
      <c r="F13" s="452"/>
      <c r="G13" s="444"/>
      <c r="H13" s="447"/>
      <c r="I13" s="447"/>
      <c r="J13" s="447"/>
      <c r="K13" s="448"/>
    </row>
    <row r="14" spans="1:41" s="2117" customFormat="1" ht="13.5" customHeight="1">
      <c r="A14" s="1634" t="s">
        <v>1850</v>
      </c>
      <c r="B14" s="449" t="s">
        <v>480</v>
      </c>
      <c r="C14" s="53">
        <f ca="1">ROUND(C13*F14,0)</f>
        <v>1556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3663</v>
      </c>
      <c r="D16" s="451">
        <f ca="1">IF(B1="",'数据-汇总表'!E3,INDIRECT("'数据-取费表'!K"&amp;$K$1)+INDIRECT("'数据-取费表'!S"&amp;$K$1))</f>
        <v>183164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778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57851</v>
      </c>
      <c r="D18" s="461"/>
      <c r="E18" s="462"/>
      <c r="F18" s="462"/>
      <c r="G18" s="1327" t="s">
        <v>2433</v>
      </c>
      <c r="H18" s="447"/>
      <c r="I18" s="447"/>
      <c r="J18" s="447"/>
      <c r="K18" s="448"/>
    </row>
    <row r="19" spans="1:14" s="2120" customFormat="1" ht="13.5" customHeight="1">
      <c r="A19" s="1635" t="s">
        <v>1855</v>
      </c>
      <c r="B19" s="459" t="s">
        <v>493</v>
      </c>
      <c r="C19" s="460">
        <f ca="1">ROUND(C18*F19,0)</f>
        <v>1157</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3">
        <f>F20</f>
        <v>2.5000000000000001E-2</v>
      </c>
      <c r="D20" s="469" t="s">
        <v>505</v>
      </c>
      <c r="E20" s="469"/>
      <c r="F20" s="486">
        <f>'数据-取费表'!B38</f>
        <v>2.5000000000000001E-2</v>
      </c>
      <c r="G20" s="1327" t="s">
        <v>506</v>
      </c>
      <c r="H20" s="447"/>
      <c r="I20" s="447"/>
      <c r="J20" s="447"/>
      <c r="K20" s="448"/>
      <c r="L20" s="2122"/>
      <c r="M20" s="2122"/>
      <c r="N20" s="2122"/>
    </row>
    <row r="21" spans="1:14" s="2122" customFormat="1" ht="13.5" customHeight="1">
      <c r="A21" s="1635" t="s">
        <v>1859</v>
      </c>
      <c r="B21" s="461" t="s">
        <v>494</v>
      </c>
      <c r="C21" s="470">
        <f ca="1">C22</f>
        <v>2803</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2803</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1.1999999999999999E-3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5" t="s">
        <v>2832</v>
      </c>
      <c r="C24" s="478">
        <f ca="1">C25</f>
        <v>11212</v>
      </c>
      <c r="D24" s="489">
        <f ca="1">C26</f>
        <v>4.7999999999999996E-3</v>
      </c>
      <c r="E24" s="469" t="s">
        <v>507</v>
      </c>
      <c r="F24" s="479">
        <f ca="1">IF(B1="",'数据-取费表'!Q16,INDIRECT("'数据-取费表'!q"&amp;$K$1))</f>
        <v>0.19</v>
      </c>
      <c r="G24" s="444"/>
      <c r="H24" s="447"/>
      <c r="I24" s="447"/>
      <c r="J24" s="447"/>
      <c r="K24" s="448"/>
    </row>
    <row r="25" spans="1:14" s="2121" customFormat="1" ht="13.5" customHeight="1">
      <c r="A25" s="1634" t="s">
        <v>1849</v>
      </c>
      <c r="B25" s="1328" t="s">
        <v>2437</v>
      </c>
      <c r="C25" s="490">
        <f ca="1">ROUND((C18+C19)*F24,0)</f>
        <v>11212</v>
      </c>
      <c r="D25" s="472"/>
      <c r="E25" s="473"/>
      <c r="F25" s="480"/>
      <c r="G25" s="1326" t="s">
        <v>2434</v>
      </c>
      <c r="H25" s="457"/>
      <c r="I25" s="457"/>
      <c r="J25" s="457"/>
      <c r="K25" s="458"/>
    </row>
    <row r="26" spans="1:14" s="2121" customFormat="1" ht="13.5" customHeight="1">
      <c r="A26" s="1634" t="s">
        <v>1850</v>
      </c>
      <c r="B26" s="1328" t="s">
        <v>509</v>
      </c>
      <c r="C26" s="491">
        <f ca="1">ROUND(F20*F24,4)</f>
        <v>4.7999999999999996E-3</v>
      </c>
      <c r="D26" s="472"/>
      <c r="E26" s="481"/>
      <c r="F26" s="480"/>
      <c r="G26" s="1326" t="s">
        <v>510</v>
      </c>
      <c r="H26" s="457"/>
      <c r="I26" s="457"/>
      <c r="J26" s="457"/>
      <c r="K26" s="458"/>
    </row>
    <row r="27" spans="1:14" s="2121" customFormat="1" ht="13.5" customHeight="1">
      <c r="A27" s="1638" t="s">
        <v>1868</v>
      </c>
      <c r="B27" s="459" t="s">
        <v>511</v>
      </c>
      <c r="C27" s="3004">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79746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3065</v>
      </c>
      <c r="E1" s="2606"/>
      <c r="F1" s="2786" t="s">
        <v>3053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142625</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16221</v>
      </c>
      <c r="C3" s="852" t="s">
        <v>722</v>
      </c>
      <c r="D3" s="851">
        <f>SUMIF('数据-汇总表'!$C19:$C33,D1,'数据-汇总表'!$E19:$E33)</f>
        <v>87926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9" t="s">
        <v>522</v>
      </c>
      <c r="D4" s="3400"/>
      <c r="E4" s="3418" t="s">
        <v>523</v>
      </c>
      <c r="F4" s="3419"/>
      <c r="G4" s="3399" t="s">
        <v>524</v>
      </c>
      <c r="H4" s="3400"/>
      <c r="I4" s="3399" t="s">
        <v>525</v>
      </c>
      <c r="J4" s="3400"/>
      <c r="K4" s="853" t="s">
        <v>526</v>
      </c>
      <c r="L4" s="2134"/>
      <c r="M4" s="2135"/>
      <c r="N4" s="2135"/>
      <c r="O4" s="2135"/>
      <c r="P4" s="3401" t="s">
        <v>527</v>
      </c>
      <c r="Q4" s="3402"/>
      <c r="R4" s="3387" t="s">
        <v>523</v>
      </c>
      <c r="S4" s="3388"/>
      <c r="T4" s="3387" t="s">
        <v>524</v>
      </c>
      <c r="U4" s="3388"/>
      <c r="V4" s="3407" t="s">
        <v>525</v>
      </c>
      <c r="W4" s="3407"/>
      <c r="X4" s="3201"/>
      <c r="Y4" s="3387" t="s">
        <v>527</v>
      </c>
      <c r="Z4" s="3388"/>
      <c r="AA4" s="3382" t="s">
        <v>523</v>
      </c>
      <c r="AB4" s="3382" t="s">
        <v>524</v>
      </c>
      <c r="AC4" s="3382" t="s">
        <v>525</v>
      </c>
    </row>
    <row r="5" spans="1:29" ht="15">
      <c r="A5" s="515"/>
      <c r="B5" s="516"/>
      <c r="C5" s="3410" t="s">
        <v>2929</v>
      </c>
      <c r="D5" s="3411"/>
      <c r="E5" s="3420" t="s">
        <v>3076</v>
      </c>
      <c r="F5" s="3421"/>
      <c r="G5" s="3422" t="s">
        <v>3073</v>
      </c>
      <c r="H5" s="3411"/>
      <c r="I5" s="3422" t="s">
        <v>3056</v>
      </c>
      <c r="J5" s="3411"/>
      <c r="K5" s="854"/>
      <c r="L5" s="2134"/>
      <c r="M5" s="2135"/>
      <c r="N5" s="2135"/>
      <c r="O5" s="2135"/>
      <c r="P5" s="3403"/>
      <c r="Q5" s="3404"/>
      <c r="R5" s="3389"/>
      <c r="S5" s="3390"/>
      <c r="T5" s="3389"/>
      <c r="U5" s="3390"/>
      <c r="V5" s="3407"/>
      <c r="W5" s="3407"/>
      <c r="X5" s="3201"/>
      <c r="Y5" s="3389"/>
      <c r="Z5" s="3390"/>
      <c r="AA5" s="3383"/>
      <c r="AB5" s="3383"/>
      <c r="AC5" s="3383"/>
    </row>
    <row r="6" spans="1:29" ht="15.75" thickBot="1">
      <c r="A6" s="517"/>
      <c r="B6" s="518"/>
      <c r="C6" s="3408" t="s">
        <v>2933</v>
      </c>
      <c r="D6" s="3409"/>
      <c r="E6" s="3423" t="s">
        <v>2933</v>
      </c>
      <c r="F6" s="3424"/>
      <c r="G6" s="3408" t="s">
        <v>2933</v>
      </c>
      <c r="H6" s="3409"/>
      <c r="I6" s="3408" t="s">
        <v>2933</v>
      </c>
      <c r="J6" s="3409"/>
      <c r="K6" s="854" t="s">
        <v>528</v>
      </c>
      <c r="L6" s="2134"/>
      <c r="M6" s="2135"/>
      <c r="N6" s="2135"/>
      <c r="O6" s="2135"/>
      <c r="P6" s="3405"/>
      <c r="Q6" s="3406"/>
      <c r="R6" s="3389"/>
      <c r="S6" s="3390"/>
      <c r="T6" s="3391"/>
      <c r="U6" s="3392"/>
      <c r="V6" s="3407"/>
      <c r="W6" s="3407"/>
      <c r="X6" s="3201"/>
      <c r="Y6" s="3391"/>
      <c r="Z6" s="3392"/>
      <c r="AA6" s="3384"/>
      <c r="AB6" s="3384"/>
      <c r="AC6" s="3384"/>
    </row>
    <row r="7" spans="1:29" s="1220" customFormat="1" ht="15.75" thickBot="1">
      <c r="A7" s="2891"/>
      <c r="B7" s="2898" t="s">
        <v>529</v>
      </c>
      <c r="C7" s="519">
        <f>'数据-取费表'!B2</f>
        <v>43564</v>
      </c>
      <c r="D7" s="520">
        <v>100</v>
      </c>
      <c r="E7" s="521">
        <f>C7</f>
        <v>43564</v>
      </c>
      <c r="F7" s="522">
        <f>SUMIF(58:58,YEAR(E7)&amp;"-"&amp;MONTH(E7),59:59)</f>
        <v>100</v>
      </c>
      <c r="G7" s="523">
        <f>C7</f>
        <v>43564</v>
      </c>
      <c r="H7" s="520">
        <f>SUMIF(58:58,YEAR(G7)&amp;"-"&amp;MONTH(G7),59:59)</f>
        <v>100</v>
      </c>
      <c r="I7" s="523">
        <f>C7</f>
        <v>43564</v>
      </c>
      <c r="J7" s="520">
        <f>SUMIF(58:58,YEAR(I7)&amp;"-"&amp;MONTH(I7),59:59)</f>
        <v>100</v>
      </c>
      <c r="K7" s="855"/>
      <c r="L7" s="2136"/>
      <c r="M7" s="2137"/>
      <c r="N7" s="2137"/>
      <c r="O7" s="2137"/>
      <c r="P7" s="3385" t="s">
        <v>530</v>
      </c>
      <c r="Q7" s="3394"/>
      <c r="R7" s="1569" t="s">
        <v>13</v>
      </c>
      <c r="S7" s="1570">
        <f t="shared" ref="S7:S15" si="0">F7</f>
        <v>100</v>
      </c>
      <c r="T7" s="1569" t="s">
        <v>13</v>
      </c>
      <c r="U7" s="1570">
        <f t="shared" ref="U7:U15" si="1">H7</f>
        <v>100</v>
      </c>
      <c r="V7" s="1569" t="s">
        <v>13</v>
      </c>
      <c r="W7" s="1570">
        <f t="shared" ref="W7:W15" si="2">J7</f>
        <v>100</v>
      </c>
      <c r="X7" s="1571"/>
      <c r="Y7" s="3385" t="s">
        <v>530</v>
      </c>
      <c r="Z7" s="3386"/>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85" t="s">
        <v>533</v>
      </c>
      <c r="Q8" s="3386"/>
      <c r="R8" s="1569" t="s">
        <v>13</v>
      </c>
      <c r="S8" s="1570">
        <f t="shared" si="0"/>
        <v>100</v>
      </c>
      <c r="T8" s="1569" t="s">
        <v>13</v>
      </c>
      <c r="U8" s="1570">
        <f t="shared" si="1"/>
        <v>100</v>
      </c>
      <c r="V8" s="1569" t="s">
        <v>13</v>
      </c>
      <c r="W8" s="1570">
        <f t="shared" si="2"/>
        <v>100</v>
      </c>
      <c r="X8" s="1571"/>
      <c r="Y8" s="3385" t="s">
        <v>533</v>
      </c>
      <c r="Z8" s="3386"/>
      <c r="AA8" s="1572">
        <f t="shared" ref="AA8:AA46" si="3">D8/F8</f>
        <v>1</v>
      </c>
      <c r="AB8" s="1572">
        <f t="shared" ref="AB8:AB46" si="4">D8/H8</f>
        <v>1</v>
      </c>
      <c r="AC8" s="1572">
        <f t="shared" ref="AC8:AC46" si="5">D8/J8</f>
        <v>1</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3" t="s">
        <v>535</v>
      </c>
      <c r="Q9" s="3198" t="str">
        <f t="shared" ref="Q9:Q15" si="6">B9</f>
        <v>用途</v>
      </c>
      <c r="R9" s="1569" t="s">
        <v>8</v>
      </c>
      <c r="S9" s="1570">
        <f t="shared" si="0"/>
        <v>100</v>
      </c>
      <c r="T9" s="1569" t="s">
        <v>8</v>
      </c>
      <c r="U9" s="1570">
        <f t="shared" si="1"/>
        <v>100</v>
      </c>
      <c r="V9" s="1569" t="s">
        <v>8</v>
      </c>
      <c r="W9" s="1570">
        <f t="shared" si="2"/>
        <v>100</v>
      </c>
      <c r="X9" s="1571"/>
      <c r="Y9" s="3350" t="s">
        <v>536</v>
      </c>
      <c r="Z9" s="3197" t="str">
        <f t="shared" ref="Z9:Z15" si="7">Q9</f>
        <v>用途</v>
      </c>
      <c r="AA9" s="1572">
        <f t="shared" si="3"/>
        <v>1</v>
      </c>
      <c r="AB9" s="1572">
        <f t="shared" si="4"/>
        <v>1</v>
      </c>
      <c r="AC9" s="1572">
        <f t="shared" si="5"/>
        <v>1</v>
      </c>
    </row>
    <row r="10" spans="1:29" s="1338" customFormat="1" ht="27">
      <c r="A10" s="2894"/>
      <c r="B10" s="2899" t="s">
        <v>2757</v>
      </c>
      <c r="C10" s="861" t="s">
        <v>3085</v>
      </c>
      <c r="D10" s="255">
        <v>100</v>
      </c>
      <c r="E10" s="861" t="s">
        <v>3085</v>
      </c>
      <c r="F10" s="863">
        <f>SUMIF(65:65,E10,66:66)-SUMIF(65:65,C10,66:66)+100</f>
        <v>100</v>
      </c>
      <c r="G10" s="861" t="s">
        <v>3085</v>
      </c>
      <c r="H10" s="255">
        <f>SUMIF(65:65,G10,66:66)-SUMIF(65:65,C10,66:66)+100</f>
        <v>100</v>
      </c>
      <c r="I10" s="861" t="s">
        <v>3085</v>
      </c>
      <c r="J10" s="255">
        <f>SUMIF(65:65,I10,66:66)-SUMIF(65:65,C10,66:66)+100</f>
        <v>100</v>
      </c>
      <c r="K10" s="864"/>
      <c r="L10" s="2139"/>
      <c r="M10" s="2179"/>
      <c r="N10" s="2179"/>
      <c r="O10" s="2140"/>
      <c r="P10" s="3393"/>
      <c r="Q10" s="3198" t="str">
        <f t="shared" si="6"/>
        <v>土地使用年限（年）</v>
      </c>
      <c r="R10" s="1569" t="s">
        <v>8</v>
      </c>
      <c r="S10" s="1570">
        <f t="shared" si="0"/>
        <v>100</v>
      </c>
      <c r="T10" s="1569" t="s">
        <v>8</v>
      </c>
      <c r="U10" s="1570">
        <f t="shared" si="1"/>
        <v>100</v>
      </c>
      <c r="V10" s="1569" t="s">
        <v>8</v>
      </c>
      <c r="W10" s="1570">
        <f t="shared" si="2"/>
        <v>100</v>
      </c>
      <c r="X10" s="1571"/>
      <c r="Y10" s="3350"/>
      <c r="Z10" s="3197" t="str">
        <f t="shared" si="7"/>
        <v>土地使用年限（年）</v>
      </c>
      <c r="AA10" s="1572">
        <f t="shared" si="3"/>
        <v>1</v>
      </c>
      <c r="AB10" s="1572">
        <f t="shared" si="4"/>
        <v>1</v>
      </c>
      <c r="AC10" s="1572">
        <f t="shared" si="5"/>
        <v>1</v>
      </c>
    </row>
    <row r="11" spans="1:29" ht="15.75" thickBot="1">
      <c r="A11" s="2895"/>
      <c r="B11" s="2899" t="s">
        <v>2758</v>
      </c>
      <c r="C11" s="533">
        <f>'数据-汇总表'!I6</f>
        <v>3.79</v>
      </c>
      <c r="D11" s="255">
        <v>100</v>
      </c>
      <c r="E11" s="534">
        <v>3.99</v>
      </c>
      <c r="F11" s="863">
        <f>LOOKUP(E11,68:68,69:69)-LOOKUP(C11,68:68,69:69)+100</f>
        <v>100</v>
      </c>
      <c r="G11" s="533">
        <v>4.2300000000000004</v>
      </c>
      <c r="H11" s="255">
        <f>LOOKUP(G11,68:68,69:69)-LOOKUP(C11,68:68,69:69)+100</f>
        <v>98</v>
      </c>
      <c r="I11" s="533">
        <v>3.5</v>
      </c>
      <c r="J11" s="255">
        <f>LOOKUP(I11,68:68,69:69)-LOOKUP(C11,68:68,69:69)+100</f>
        <v>100</v>
      </c>
      <c r="K11" s="864">
        <v>2</v>
      </c>
      <c r="L11" s="2141"/>
      <c r="M11" s="2135"/>
      <c r="N11" s="2135"/>
      <c r="O11" s="2142"/>
      <c r="P11" s="3393"/>
      <c r="Q11" s="3198" t="str">
        <f t="shared" si="6"/>
        <v>容积率</v>
      </c>
      <c r="R11" s="1569" t="s">
        <v>11</v>
      </c>
      <c r="S11" s="1570">
        <f t="shared" si="0"/>
        <v>100</v>
      </c>
      <c r="T11" s="1569" t="s">
        <v>11</v>
      </c>
      <c r="U11" s="1570">
        <f t="shared" si="1"/>
        <v>98</v>
      </c>
      <c r="V11" s="1569" t="s">
        <v>11</v>
      </c>
      <c r="W11" s="1570">
        <f t="shared" si="2"/>
        <v>100</v>
      </c>
      <c r="X11" s="1571"/>
      <c r="Y11" s="3350"/>
      <c r="Z11" s="3197" t="str">
        <f t="shared" si="7"/>
        <v>容积率</v>
      </c>
      <c r="AA11" s="1572">
        <f t="shared" si="3"/>
        <v>1</v>
      </c>
      <c r="AB11" s="1572">
        <f t="shared" si="4"/>
        <v>1.0204081632653061</v>
      </c>
      <c r="AC11" s="1572">
        <f t="shared" si="5"/>
        <v>1</v>
      </c>
    </row>
    <row r="12" spans="1:29" s="1220" customFormat="1" ht="15.75" hidden="1" thickBot="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3"/>
      <c r="Q12" s="3198">
        <f t="shared" si="6"/>
        <v>111</v>
      </c>
      <c r="R12" s="1569" t="s">
        <v>11</v>
      </c>
      <c r="S12" s="1570">
        <f t="shared" si="0"/>
        <v>100</v>
      </c>
      <c r="T12" s="1569" t="s">
        <v>11</v>
      </c>
      <c r="U12" s="1570">
        <f t="shared" si="1"/>
        <v>100</v>
      </c>
      <c r="V12" s="1569" t="s">
        <v>11</v>
      </c>
      <c r="W12" s="1570">
        <f t="shared" si="2"/>
        <v>100</v>
      </c>
      <c r="X12" s="1571"/>
      <c r="Y12" s="3350"/>
      <c r="Z12" s="3197">
        <f t="shared" si="7"/>
        <v>111</v>
      </c>
      <c r="AA12" s="1572">
        <f>D12/F12</f>
        <v>1</v>
      </c>
      <c r="AB12" s="1572">
        <f>D12/H12</f>
        <v>1</v>
      </c>
      <c r="AC12" s="1572">
        <f>D12/J12</f>
        <v>1</v>
      </c>
    </row>
    <row r="13" spans="1:29" ht="15.75" hidden="1" thickBot="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3"/>
      <c r="Q13" s="3198">
        <f t="shared" si="6"/>
        <v>111</v>
      </c>
      <c r="R13" s="1569" t="s">
        <v>11</v>
      </c>
      <c r="S13" s="1570">
        <f t="shared" si="0"/>
        <v>100</v>
      </c>
      <c r="T13" s="1569" t="s">
        <v>11</v>
      </c>
      <c r="U13" s="1570">
        <f t="shared" si="1"/>
        <v>100</v>
      </c>
      <c r="V13" s="1569" t="s">
        <v>11</v>
      </c>
      <c r="W13" s="1570">
        <f t="shared" si="2"/>
        <v>100</v>
      </c>
      <c r="X13" s="1571"/>
      <c r="Y13" s="3350"/>
      <c r="Z13" s="3197">
        <f t="shared" si="7"/>
        <v>111</v>
      </c>
      <c r="AA13" s="1572">
        <f t="shared" si="3"/>
        <v>1</v>
      </c>
      <c r="AB13" s="1572">
        <f t="shared" si="4"/>
        <v>1</v>
      </c>
      <c r="AC13" s="1572">
        <f t="shared" si="5"/>
        <v>1</v>
      </c>
    </row>
    <row r="14" spans="1:29" ht="15.75"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3"/>
      <c r="Q14" s="3198">
        <f t="shared" si="6"/>
        <v>111</v>
      </c>
      <c r="R14" s="1569" t="s">
        <v>11</v>
      </c>
      <c r="S14" s="1570">
        <f t="shared" si="0"/>
        <v>100</v>
      </c>
      <c r="T14" s="1569" t="s">
        <v>11</v>
      </c>
      <c r="U14" s="1570">
        <f t="shared" si="1"/>
        <v>100</v>
      </c>
      <c r="V14" s="1569" t="s">
        <v>11</v>
      </c>
      <c r="W14" s="1570">
        <f t="shared" si="2"/>
        <v>100</v>
      </c>
      <c r="X14" s="1571"/>
      <c r="Y14" s="3350"/>
      <c r="Z14" s="3197">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95" t="s">
        <v>540</v>
      </c>
      <c r="Q15" s="3199" t="str">
        <f t="shared" si="6"/>
        <v>居住社区成熟度</v>
      </c>
      <c r="R15" s="1574" t="s">
        <v>11</v>
      </c>
      <c r="S15" s="1575">
        <f t="shared" si="0"/>
        <v>100</v>
      </c>
      <c r="T15" s="1574" t="s">
        <v>11</v>
      </c>
      <c r="U15" s="1575">
        <f t="shared" si="1"/>
        <v>100</v>
      </c>
      <c r="V15" s="1574" t="s">
        <v>11</v>
      </c>
      <c r="W15" s="1575">
        <f t="shared" si="2"/>
        <v>100</v>
      </c>
      <c r="X15" s="3201"/>
      <c r="Y15" s="3395" t="s">
        <v>540</v>
      </c>
      <c r="Z15" s="3200" t="str">
        <f t="shared" si="7"/>
        <v>居住社区成熟度</v>
      </c>
      <c r="AA15" s="3202">
        <f t="shared" si="3"/>
        <v>1</v>
      </c>
      <c r="AB15" s="3202">
        <f t="shared" si="4"/>
        <v>1</v>
      </c>
      <c r="AC15" s="3202">
        <f t="shared" si="5"/>
        <v>1</v>
      </c>
    </row>
    <row r="16" spans="1:29" ht="15">
      <c r="A16" s="532"/>
      <c r="B16" s="869"/>
      <c r="C16" s="576" t="s">
        <v>3027</v>
      </c>
      <c r="D16" s="555"/>
      <c r="E16" s="576" t="s">
        <v>3027</v>
      </c>
      <c r="F16" s="557"/>
      <c r="G16" s="576" t="s">
        <v>3027</v>
      </c>
      <c r="H16" s="559"/>
      <c r="I16" s="576" t="s">
        <v>3027</v>
      </c>
      <c r="J16" s="555"/>
      <c r="K16" s="870"/>
      <c r="L16" s="2143"/>
      <c r="M16" s="2135"/>
      <c r="N16" s="2135"/>
      <c r="O16" s="2142"/>
      <c r="P16" s="3396"/>
      <c r="Q16" s="3199"/>
      <c r="R16" s="1574"/>
      <c r="S16" s="1575"/>
      <c r="T16" s="1574"/>
      <c r="U16" s="1575"/>
      <c r="V16" s="1574"/>
      <c r="W16" s="1575"/>
      <c r="X16" s="3201"/>
      <c r="Y16" s="3396"/>
      <c r="Z16" s="3200"/>
      <c r="AA16" s="3202">
        <v>1</v>
      </c>
      <c r="AB16" s="3202">
        <v>1</v>
      </c>
      <c r="AC16" s="320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96"/>
      <c r="Q17" s="3199" t="str">
        <f>B17</f>
        <v>交通便捷度</v>
      </c>
      <c r="R17" s="1574" t="s">
        <v>11</v>
      </c>
      <c r="S17" s="1575">
        <f>F17</f>
        <v>100</v>
      </c>
      <c r="T17" s="1574" t="s">
        <v>11</v>
      </c>
      <c r="U17" s="1575">
        <f>H17</f>
        <v>100</v>
      </c>
      <c r="V17" s="1574" t="s">
        <v>11</v>
      </c>
      <c r="W17" s="1575">
        <f>J17</f>
        <v>100</v>
      </c>
      <c r="X17" s="3201"/>
      <c r="Y17" s="3396"/>
      <c r="Z17" s="3200" t="str">
        <f>Q17</f>
        <v>交通便捷度</v>
      </c>
      <c r="AA17" s="3202">
        <f t="shared" si="3"/>
        <v>1</v>
      </c>
      <c r="AB17" s="3202">
        <f t="shared" si="4"/>
        <v>1</v>
      </c>
      <c r="AC17" s="3202">
        <f t="shared" si="5"/>
        <v>1</v>
      </c>
    </row>
    <row r="18" spans="1:29" ht="15">
      <c r="A18" s="532"/>
      <c r="B18" s="595"/>
      <c r="C18" s="873" t="s">
        <v>3025</v>
      </c>
      <c r="D18" s="559"/>
      <c r="E18" s="873" t="s">
        <v>3025</v>
      </c>
      <c r="F18" s="563"/>
      <c r="G18" s="873" t="s">
        <v>3025</v>
      </c>
      <c r="H18" s="555"/>
      <c r="I18" s="568" t="s">
        <v>3025</v>
      </c>
      <c r="J18" s="555"/>
      <c r="K18" s="870"/>
      <c r="L18" s="2143"/>
      <c r="M18" s="2135"/>
      <c r="N18" s="2135"/>
      <c r="O18" s="2142"/>
      <c r="P18" s="3396"/>
      <c r="Q18" s="3199"/>
      <c r="R18" s="1574"/>
      <c r="S18" s="1575"/>
      <c r="T18" s="1574"/>
      <c r="U18" s="1575"/>
      <c r="V18" s="1574"/>
      <c r="W18" s="1575"/>
      <c r="X18" s="3201"/>
      <c r="Y18" s="3396"/>
      <c r="Z18" s="3200"/>
      <c r="AA18" s="3202">
        <v>1</v>
      </c>
      <c r="AB18" s="3202">
        <v>1</v>
      </c>
      <c r="AC18" s="3202">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3"/>
      <c r="M19" s="2135"/>
      <c r="N19" s="2135"/>
      <c r="O19" s="2142"/>
      <c r="P19" s="3396"/>
      <c r="Q19" s="3199" t="str">
        <f>B19</f>
        <v>公共配套设施</v>
      </c>
      <c r="R19" s="1574" t="s">
        <v>11</v>
      </c>
      <c r="S19" s="1575">
        <f>F19</f>
        <v>100</v>
      </c>
      <c r="T19" s="1574" t="s">
        <v>11</v>
      </c>
      <c r="U19" s="1575">
        <f>H19</f>
        <v>100</v>
      </c>
      <c r="V19" s="1574" t="s">
        <v>11</v>
      </c>
      <c r="W19" s="1575">
        <f>J19</f>
        <v>100</v>
      </c>
      <c r="X19" s="3201"/>
      <c r="Y19" s="3396"/>
      <c r="Z19" s="3200" t="str">
        <f>Q19</f>
        <v>公共配套设施</v>
      </c>
      <c r="AA19" s="3202">
        <f t="shared" si="3"/>
        <v>1</v>
      </c>
      <c r="AB19" s="3202">
        <f t="shared" si="4"/>
        <v>1</v>
      </c>
      <c r="AC19" s="3202">
        <f t="shared" si="5"/>
        <v>1</v>
      </c>
    </row>
    <row r="20" spans="1:29" ht="15">
      <c r="A20" s="532"/>
      <c r="B20" s="595"/>
      <c r="C20" s="576" t="s">
        <v>3025</v>
      </c>
      <c r="D20" s="555"/>
      <c r="E20" s="576" t="s">
        <v>3025</v>
      </c>
      <c r="F20" s="557"/>
      <c r="G20" s="576" t="s">
        <v>3025</v>
      </c>
      <c r="H20" s="555"/>
      <c r="I20" s="576" t="s">
        <v>3025</v>
      </c>
      <c r="J20" s="555"/>
      <c r="K20" s="870"/>
      <c r="L20" s="2143"/>
      <c r="M20" s="2135"/>
      <c r="N20" s="2135"/>
      <c r="O20" s="2142"/>
      <c r="P20" s="3396"/>
      <c r="Q20" s="3199"/>
      <c r="R20" s="1574"/>
      <c r="S20" s="1575"/>
      <c r="T20" s="1574"/>
      <c r="U20" s="1575"/>
      <c r="V20" s="1574"/>
      <c r="W20" s="1575"/>
      <c r="X20" s="3201"/>
      <c r="Y20" s="3396"/>
      <c r="Z20" s="3200"/>
      <c r="AA20" s="3202">
        <v>1</v>
      </c>
      <c r="AB20" s="3202">
        <v>1</v>
      </c>
      <c r="AC20" s="3202">
        <v>1</v>
      </c>
    </row>
    <row r="21" spans="1:29" ht="28.5">
      <c r="A21" s="532"/>
      <c r="B21" s="2573" t="s">
        <v>2547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6"/>
      <c r="Q21" s="3199" t="str">
        <f>B21</f>
        <v>基础设施水平</v>
      </c>
      <c r="R21" s="1574" t="s">
        <v>11</v>
      </c>
      <c r="S21" s="1575">
        <f>F21</f>
        <v>100</v>
      </c>
      <c r="T21" s="1574" t="s">
        <v>11</v>
      </c>
      <c r="U21" s="1575">
        <f>H21</f>
        <v>100</v>
      </c>
      <c r="V21" s="1574" t="s">
        <v>11</v>
      </c>
      <c r="W21" s="1575">
        <f>J21</f>
        <v>100</v>
      </c>
      <c r="X21" s="3201"/>
      <c r="Y21" s="3396"/>
      <c r="Z21" s="3200" t="str">
        <f>Q21</f>
        <v>基础设施水平</v>
      </c>
      <c r="AA21" s="3202">
        <f t="shared" ref="AA21" si="8">D21/F21</f>
        <v>1</v>
      </c>
      <c r="AB21" s="3202">
        <f t="shared" ref="AB21" si="9">D21/H21</f>
        <v>1</v>
      </c>
      <c r="AC21" s="3202">
        <f t="shared" ref="AC21" si="10">D21/J21</f>
        <v>1</v>
      </c>
    </row>
    <row r="22" spans="1:29" ht="15">
      <c r="A22" s="532"/>
      <c r="B22" s="922"/>
      <c r="C22" s="873" t="s">
        <v>3028</v>
      </c>
      <c r="D22" s="555"/>
      <c r="E22" s="873" t="s">
        <v>3028</v>
      </c>
      <c r="F22" s="557"/>
      <c r="G22" s="873" t="s">
        <v>3028</v>
      </c>
      <c r="H22" s="555"/>
      <c r="I22" s="873" t="s">
        <v>3028</v>
      </c>
      <c r="J22" s="555"/>
      <c r="K22" s="2579"/>
      <c r="L22" s="2143"/>
      <c r="M22" s="2135"/>
      <c r="N22" s="2135"/>
      <c r="O22" s="2142"/>
      <c r="P22" s="3396"/>
      <c r="Q22" s="3199"/>
      <c r="R22" s="1574"/>
      <c r="S22" s="1575"/>
      <c r="T22" s="1574"/>
      <c r="U22" s="1575"/>
      <c r="V22" s="1574"/>
      <c r="W22" s="1575"/>
      <c r="X22" s="3201"/>
      <c r="Y22" s="3396"/>
      <c r="Z22" s="3200"/>
      <c r="AA22" s="3202">
        <v>1</v>
      </c>
      <c r="AB22" s="3202">
        <v>1</v>
      </c>
      <c r="AC22" s="320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96"/>
      <c r="Q23" s="3199" t="str">
        <f>B23</f>
        <v>自然及人文环境</v>
      </c>
      <c r="R23" s="1574" t="s">
        <v>11</v>
      </c>
      <c r="S23" s="1575">
        <f>F23</f>
        <v>100</v>
      </c>
      <c r="T23" s="1574" t="s">
        <v>11</v>
      </c>
      <c r="U23" s="1575">
        <f>H23</f>
        <v>100</v>
      </c>
      <c r="V23" s="1574" t="s">
        <v>11</v>
      </c>
      <c r="W23" s="1575">
        <f>J23</f>
        <v>100</v>
      </c>
      <c r="X23" s="3201"/>
      <c r="Y23" s="3396"/>
      <c r="Z23" s="3200" t="str">
        <f>Q23</f>
        <v>自然及人文环境</v>
      </c>
      <c r="AA23" s="3202">
        <f t="shared" si="3"/>
        <v>1</v>
      </c>
      <c r="AB23" s="3202">
        <f t="shared" si="4"/>
        <v>1</v>
      </c>
      <c r="AC23" s="3202">
        <f t="shared" si="5"/>
        <v>1</v>
      </c>
    </row>
    <row r="24" spans="1:29" ht="15.75" thickBot="1">
      <c r="A24" s="532"/>
      <c r="B24" s="595"/>
      <c r="C24" s="576" t="s">
        <v>3025</v>
      </c>
      <c r="D24" s="555"/>
      <c r="E24" s="576" t="s">
        <v>3025</v>
      </c>
      <c r="F24" s="557"/>
      <c r="G24" s="576" t="s">
        <v>3025</v>
      </c>
      <c r="H24" s="555"/>
      <c r="I24" s="576" t="s">
        <v>3025</v>
      </c>
      <c r="J24" s="555"/>
      <c r="K24" s="870"/>
      <c r="L24" s="2143"/>
      <c r="M24" s="2135"/>
      <c r="N24" s="2135"/>
      <c r="O24" s="2142"/>
      <c r="P24" s="3396"/>
      <c r="Q24" s="3199"/>
      <c r="R24" s="1574"/>
      <c r="S24" s="1575"/>
      <c r="T24" s="1574"/>
      <c r="U24" s="1575"/>
      <c r="V24" s="1574"/>
      <c r="W24" s="1575"/>
      <c r="X24" s="3201"/>
      <c r="Y24" s="3396"/>
      <c r="Z24" s="3200"/>
      <c r="AA24" s="3202">
        <v>1</v>
      </c>
      <c r="AB24" s="3202">
        <v>1</v>
      </c>
      <c r="AC24" s="3202">
        <v>1</v>
      </c>
    </row>
    <row r="25" spans="1:29" ht="15.75" hidden="1" thickBot="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6"/>
      <c r="Q25" s="3199" t="str">
        <f t="shared" ref="Q25:Q46" si="11">B25</f>
        <v>楼层-1</v>
      </c>
      <c r="R25" s="1574" t="s">
        <v>11</v>
      </c>
      <c r="S25" s="1575">
        <f>F25</f>
        <v>100</v>
      </c>
      <c r="T25" s="1574" t="s">
        <v>11</v>
      </c>
      <c r="U25" s="1575">
        <f>H25</f>
        <v>100</v>
      </c>
      <c r="V25" s="1574" t="s">
        <v>11</v>
      </c>
      <c r="W25" s="1575">
        <f>J25</f>
        <v>100</v>
      </c>
      <c r="X25" s="3201"/>
      <c r="Y25" s="3396"/>
      <c r="Z25" s="3200" t="str">
        <f>Q25</f>
        <v>楼层-1</v>
      </c>
      <c r="AA25" s="3202">
        <f t="shared" si="3"/>
        <v>1</v>
      </c>
      <c r="AB25" s="3202">
        <f t="shared" si="4"/>
        <v>1</v>
      </c>
      <c r="AC25" s="3202">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6"/>
      <c r="Q26" s="3199" t="str">
        <f t="shared" si="11"/>
        <v>朝向</v>
      </c>
      <c r="R26" s="1574" t="s">
        <v>11</v>
      </c>
      <c r="S26" s="1575">
        <f>F26</f>
        <v>100</v>
      </c>
      <c r="T26" s="1574" t="s">
        <v>11</v>
      </c>
      <c r="U26" s="1575">
        <f>H26</f>
        <v>100</v>
      </c>
      <c r="V26" s="1574" t="s">
        <v>11</v>
      </c>
      <c r="W26" s="1575">
        <f>J26</f>
        <v>100</v>
      </c>
      <c r="X26" s="3201"/>
      <c r="Y26" s="3396"/>
      <c r="Z26" s="3200" t="str">
        <f>Q26</f>
        <v>朝向</v>
      </c>
      <c r="AA26" s="3202">
        <f t="shared" si="3"/>
        <v>1</v>
      </c>
      <c r="AB26" s="3202">
        <f t="shared" si="4"/>
        <v>1</v>
      </c>
      <c r="AC26" s="3202">
        <f t="shared" si="5"/>
        <v>1</v>
      </c>
    </row>
    <row r="27" spans="1:29" s="1220"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6"/>
      <c r="Q27" s="3198" t="str">
        <f t="shared" si="11"/>
        <v>道路级别</v>
      </c>
      <c r="R27" s="1569" t="s">
        <v>11</v>
      </c>
      <c r="S27" s="1570">
        <f>F27</f>
        <v>100</v>
      </c>
      <c r="T27" s="1569" t="s">
        <v>11</v>
      </c>
      <c r="U27" s="1570">
        <f>H27</f>
        <v>100</v>
      </c>
      <c r="V27" s="1569" t="s">
        <v>11</v>
      </c>
      <c r="W27" s="1570">
        <f>J27</f>
        <v>100</v>
      </c>
      <c r="X27" s="1571"/>
      <c r="Y27" s="3396"/>
      <c r="Z27" s="3197" t="str">
        <f>Q27</f>
        <v>道路级别</v>
      </c>
      <c r="AA27" s="3202">
        <f>D27/F27</f>
        <v>1</v>
      </c>
      <c r="AB27" s="3202">
        <f>D27/H27</f>
        <v>1</v>
      </c>
      <c r="AC27" s="3202">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6"/>
      <c r="Q28" s="3199">
        <f t="shared" si="11"/>
        <v>111</v>
      </c>
      <c r="R28" s="1574" t="s">
        <v>11</v>
      </c>
      <c r="S28" s="1575">
        <f t="shared" ref="S28:S46" si="12">F28</f>
        <v>100</v>
      </c>
      <c r="T28" s="1574" t="s">
        <v>11</v>
      </c>
      <c r="U28" s="1575">
        <f t="shared" ref="U28:U46" si="13">H28</f>
        <v>100</v>
      </c>
      <c r="V28" s="1574" t="s">
        <v>11</v>
      </c>
      <c r="W28" s="1575">
        <f t="shared" ref="W28:W46" si="14">J28</f>
        <v>100</v>
      </c>
      <c r="X28" s="3201"/>
      <c r="Y28" s="3396"/>
      <c r="Z28" s="3200">
        <f t="shared" ref="Z28:Z46" si="15">Q28</f>
        <v>111</v>
      </c>
      <c r="AA28" s="3202">
        <f t="shared" si="3"/>
        <v>1</v>
      </c>
      <c r="AB28" s="3202">
        <f t="shared" si="4"/>
        <v>1</v>
      </c>
      <c r="AC28" s="3202">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6"/>
      <c r="Q29" s="3199">
        <f t="shared" si="11"/>
        <v>111</v>
      </c>
      <c r="R29" s="1574" t="s">
        <v>11</v>
      </c>
      <c r="S29" s="1575">
        <f t="shared" si="12"/>
        <v>100</v>
      </c>
      <c r="T29" s="1574" t="s">
        <v>11</v>
      </c>
      <c r="U29" s="1575">
        <f t="shared" si="13"/>
        <v>100</v>
      </c>
      <c r="V29" s="1574" t="s">
        <v>11</v>
      </c>
      <c r="W29" s="1575">
        <f t="shared" si="14"/>
        <v>100</v>
      </c>
      <c r="X29" s="3201"/>
      <c r="Y29" s="3396"/>
      <c r="Z29" s="3200">
        <f t="shared" si="15"/>
        <v>111</v>
      </c>
      <c r="AA29" s="3202">
        <f t="shared" si="3"/>
        <v>1</v>
      </c>
      <c r="AB29" s="3202">
        <f t="shared" si="4"/>
        <v>1</v>
      </c>
      <c r="AC29" s="3202">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6"/>
      <c r="Q30" s="3199">
        <f t="shared" si="11"/>
        <v>111</v>
      </c>
      <c r="R30" s="1574" t="s">
        <v>11</v>
      </c>
      <c r="S30" s="1575">
        <f t="shared" si="12"/>
        <v>100</v>
      </c>
      <c r="T30" s="1574" t="s">
        <v>11</v>
      </c>
      <c r="U30" s="1575">
        <f t="shared" si="13"/>
        <v>100</v>
      </c>
      <c r="V30" s="1574" t="s">
        <v>11</v>
      </c>
      <c r="W30" s="1575">
        <f t="shared" si="14"/>
        <v>100</v>
      </c>
      <c r="X30" s="3201"/>
      <c r="Y30" s="3396"/>
      <c r="Z30" s="3200">
        <f t="shared" si="15"/>
        <v>111</v>
      </c>
      <c r="AA30" s="3202">
        <f t="shared" si="3"/>
        <v>1</v>
      </c>
      <c r="AB30" s="3202">
        <f t="shared" si="4"/>
        <v>1</v>
      </c>
      <c r="AC30" s="320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6"/>
      <c r="Q31" s="3199">
        <f t="shared" si="11"/>
        <v>111</v>
      </c>
      <c r="R31" s="1574" t="s">
        <v>11</v>
      </c>
      <c r="S31" s="1575">
        <f t="shared" si="12"/>
        <v>100</v>
      </c>
      <c r="T31" s="1574" t="s">
        <v>11</v>
      </c>
      <c r="U31" s="1575">
        <f t="shared" si="13"/>
        <v>100</v>
      </c>
      <c r="V31" s="1574" t="s">
        <v>11</v>
      </c>
      <c r="W31" s="1575">
        <f t="shared" si="14"/>
        <v>100</v>
      </c>
      <c r="X31" s="3201"/>
      <c r="Y31" s="3396"/>
      <c r="Z31" s="3200">
        <f t="shared" si="15"/>
        <v>111</v>
      </c>
      <c r="AA31" s="3202">
        <f t="shared" si="3"/>
        <v>1</v>
      </c>
      <c r="AB31" s="3202">
        <f t="shared" si="4"/>
        <v>1</v>
      </c>
      <c r="AC31" s="3202">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7" t="s">
        <v>550</v>
      </c>
      <c r="Q32" s="3199" t="str">
        <f t="shared" si="11"/>
        <v>建筑类型</v>
      </c>
      <c r="R32" s="1574" t="s">
        <v>11</v>
      </c>
      <c r="S32" s="1575">
        <f t="shared" si="12"/>
        <v>100</v>
      </c>
      <c r="T32" s="1574" t="s">
        <v>11</v>
      </c>
      <c r="U32" s="1575">
        <f t="shared" si="13"/>
        <v>100</v>
      </c>
      <c r="V32" s="1574" t="s">
        <v>11</v>
      </c>
      <c r="W32" s="1575">
        <f t="shared" si="14"/>
        <v>100</v>
      </c>
      <c r="X32" s="3201"/>
      <c r="Y32" s="3398" t="s">
        <v>550</v>
      </c>
      <c r="Z32" s="3200" t="str">
        <f t="shared" si="15"/>
        <v>建筑类型</v>
      </c>
      <c r="AA32" s="3202">
        <f t="shared" si="3"/>
        <v>1</v>
      </c>
      <c r="AB32" s="3202">
        <f t="shared" si="4"/>
        <v>1</v>
      </c>
      <c r="AC32" s="3202">
        <f t="shared" si="5"/>
        <v>1</v>
      </c>
    </row>
    <row r="33" spans="1:29" s="1339" customFormat="1" ht="15">
      <c r="A33" s="603"/>
      <c r="B33" s="527" t="s">
        <v>726</v>
      </c>
      <c r="C33" s="880">
        <f>'数据-基础表'!B3</f>
        <v>183164</v>
      </c>
      <c r="D33" s="255">
        <v>100</v>
      </c>
      <c r="E33" s="534">
        <v>110369</v>
      </c>
      <c r="F33" s="863">
        <f>LOOKUP(E33,103:103,104:104)-LOOKUP(C33,103:103,104:104)+100</f>
        <v>100</v>
      </c>
      <c r="G33" s="533">
        <v>300000</v>
      </c>
      <c r="H33" s="255">
        <f>LOOKUP(G33,103:103,104:104)-LOOKUP(C33,103:103,104:104)+100</f>
        <v>100</v>
      </c>
      <c r="I33" s="534">
        <v>2000000</v>
      </c>
      <c r="J33" s="255">
        <f>LOOKUP(I33,103:103,104:104)-LOOKUP(C33,103:103,104:104)+100</f>
        <v>104</v>
      </c>
      <c r="K33" s="865"/>
      <c r="L33" s="2141"/>
      <c r="M33" s="2172"/>
      <c r="N33" s="2172"/>
      <c r="O33" s="2144"/>
      <c r="P33" s="3398"/>
      <c r="Q33" s="1606" t="str">
        <f t="shared" si="11"/>
        <v>项目建筑规模</v>
      </c>
      <c r="R33" s="1578" t="s">
        <v>11</v>
      </c>
      <c r="S33" s="1579">
        <f t="shared" si="12"/>
        <v>100</v>
      </c>
      <c r="T33" s="1578" t="s">
        <v>11</v>
      </c>
      <c r="U33" s="1579">
        <f t="shared" si="13"/>
        <v>100</v>
      </c>
      <c r="V33" s="1578" t="s">
        <v>11</v>
      </c>
      <c r="W33" s="1579">
        <f t="shared" si="14"/>
        <v>104</v>
      </c>
      <c r="X33" s="1580"/>
      <c r="Y33" s="3398"/>
      <c r="Z33" s="1581" t="str">
        <f t="shared" si="15"/>
        <v>项目建筑规模</v>
      </c>
      <c r="AA33" s="3202">
        <f t="shared" si="3"/>
        <v>1</v>
      </c>
      <c r="AB33" s="3202">
        <f t="shared" si="4"/>
        <v>1</v>
      </c>
      <c r="AC33" s="3202">
        <f t="shared" si="5"/>
        <v>0.96153846153846156</v>
      </c>
    </row>
    <row r="34" spans="1:29" ht="15">
      <c r="A34" s="594"/>
      <c r="B34" s="527" t="s">
        <v>727</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2</v>
      </c>
      <c r="L34" s="2143"/>
      <c r="M34" s="2135"/>
      <c r="N34" s="2135"/>
      <c r="O34" s="2142"/>
      <c r="P34" s="3398"/>
      <c r="Q34" s="3199" t="str">
        <f t="shared" si="11"/>
        <v>建筑结构</v>
      </c>
      <c r="R34" s="1574" t="s">
        <v>11</v>
      </c>
      <c r="S34" s="1575">
        <f t="shared" si="12"/>
        <v>100</v>
      </c>
      <c r="T34" s="1574" t="s">
        <v>11</v>
      </c>
      <c r="U34" s="1575">
        <f t="shared" si="13"/>
        <v>100</v>
      </c>
      <c r="V34" s="1574" t="s">
        <v>11</v>
      </c>
      <c r="W34" s="1575">
        <f t="shared" si="14"/>
        <v>100</v>
      </c>
      <c r="X34" s="3201"/>
      <c r="Y34" s="3398"/>
      <c r="Z34" s="3200" t="str">
        <f t="shared" si="15"/>
        <v>建筑结构</v>
      </c>
      <c r="AA34" s="3202">
        <f t="shared" si="3"/>
        <v>1</v>
      </c>
      <c r="AB34" s="3202">
        <f t="shared" si="4"/>
        <v>1</v>
      </c>
      <c r="AC34" s="3202">
        <f t="shared" si="5"/>
        <v>1</v>
      </c>
    </row>
    <row r="35" spans="1:29" ht="15">
      <c r="A35" s="594"/>
      <c r="B35" s="527" t="s">
        <v>728</v>
      </c>
      <c r="C35" s="599" t="s">
        <v>3045</v>
      </c>
      <c r="D35" s="540">
        <v>100</v>
      </c>
      <c r="E35" s="874" t="s">
        <v>3045</v>
      </c>
      <c r="F35" s="575">
        <f>SUMIF(107:107,E35,108:108)-SUMIF(107:107,C35,108:108)+100</f>
        <v>100</v>
      </c>
      <c r="G35" s="599" t="s">
        <v>3045</v>
      </c>
      <c r="H35" s="540">
        <f>SUMIF(107:107,G35,108:108)-SUMIF(107:107,C35,108:108)+100</f>
        <v>100</v>
      </c>
      <c r="I35" s="874" t="s">
        <v>3045</v>
      </c>
      <c r="J35" s="540">
        <f>SUMIF(107:107,I35,108:108)-SUMIF(107:107,C35,108:108)+100</f>
        <v>100</v>
      </c>
      <c r="K35" s="864">
        <v>2</v>
      </c>
      <c r="L35" s="2143"/>
      <c r="M35" s="2135"/>
      <c r="N35" s="2135"/>
      <c r="O35" s="2142"/>
      <c r="P35" s="3398"/>
      <c r="Q35" s="3199" t="str">
        <f t="shared" si="11"/>
        <v>建筑品质</v>
      </c>
      <c r="R35" s="1574" t="s">
        <v>11</v>
      </c>
      <c r="S35" s="1575">
        <f t="shared" si="12"/>
        <v>100</v>
      </c>
      <c r="T35" s="1574" t="s">
        <v>11</v>
      </c>
      <c r="U35" s="1575">
        <f t="shared" si="13"/>
        <v>100</v>
      </c>
      <c r="V35" s="1574" t="s">
        <v>11</v>
      </c>
      <c r="W35" s="1575">
        <f t="shared" si="14"/>
        <v>100</v>
      </c>
      <c r="X35" s="3201"/>
      <c r="Y35" s="3398"/>
      <c r="Z35" s="3200" t="str">
        <f t="shared" si="15"/>
        <v>建筑品质</v>
      </c>
      <c r="AA35" s="3202">
        <f t="shared" si="3"/>
        <v>1</v>
      </c>
      <c r="AB35" s="3202">
        <f t="shared" si="4"/>
        <v>1</v>
      </c>
      <c r="AC35" s="3202">
        <f t="shared" si="5"/>
        <v>1</v>
      </c>
    </row>
    <row r="36" spans="1:29" ht="15">
      <c r="A36" s="594"/>
      <c r="B36" s="527" t="s">
        <v>729</v>
      </c>
      <c r="C36" s="599" t="s">
        <v>3079</v>
      </c>
      <c r="D36" s="540">
        <v>100</v>
      </c>
      <c r="E36" s="599" t="s">
        <v>3079</v>
      </c>
      <c r="F36" s="575">
        <f>SUMIF(109:109,E36,110:110)-SUMIF(109:109,C36,110:110)+100</f>
        <v>100</v>
      </c>
      <c r="G36" s="599" t="s">
        <v>3079</v>
      </c>
      <c r="H36" s="540">
        <f>SUMIF(109:109,G36,110:110)-SUMIF(109:109,C36,110:110)+100</f>
        <v>100</v>
      </c>
      <c r="I36" s="599" t="s">
        <v>3079</v>
      </c>
      <c r="J36" s="540">
        <f>SUMIF(109:109,I36,110:110)-SUMIF(109:109,C36,110:110)+100</f>
        <v>100</v>
      </c>
      <c r="K36" s="864">
        <v>2</v>
      </c>
      <c r="L36" s="2143"/>
      <c r="M36" s="2135"/>
      <c r="N36" s="2135"/>
      <c r="O36" s="2142"/>
      <c r="P36" s="3398"/>
      <c r="Q36" s="3199" t="str">
        <f t="shared" si="11"/>
        <v>公共部分装修</v>
      </c>
      <c r="R36" s="1574" t="s">
        <v>11</v>
      </c>
      <c r="S36" s="1575">
        <f t="shared" si="12"/>
        <v>100</v>
      </c>
      <c r="T36" s="1574" t="s">
        <v>11</v>
      </c>
      <c r="U36" s="1575">
        <f t="shared" si="13"/>
        <v>100</v>
      </c>
      <c r="V36" s="1574" t="s">
        <v>11</v>
      </c>
      <c r="W36" s="1575">
        <f t="shared" si="14"/>
        <v>100</v>
      </c>
      <c r="X36" s="3201"/>
      <c r="Y36" s="3398"/>
      <c r="Z36" s="3200" t="str">
        <f t="shared" si="15"/>
        <v>公共部分装修</v>
      </c>
      <c r="AA36" s="3202">
        <f t="shared" si="3"/>
        <v>1</v>
      </c>
      <c r="AB36" s="3202">
        <f t="shared" si="4"/>
        <v>1</v>
      </c>
      <c r="AC36" s="3202">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98"/>
      <c r="Q37" s="3198" t="str">
        <f t="shared" si="11"/>
        <v>成新度</v>
      </c>
      <c r="R37" s="1569" t="s">
        <v>11</v>
      </c>
      <c r="S37" s="1570">
        <f t="shared" si="12"/>
        <v>100</v>
      </c>
      <c r="T37" s="1569" t="s">
        <v>11</v>
      </c>
      <c r="U37" s="1570">
        <f t="shared" si="13"/>
        <v>100</v>
      </c>
      <c r="V37" s="1569" t="s">
        <v>11</v>
      </c>
      <c r="W37" s="1570">
        <f t="shared" si="14"/>
        <v>100</v>
      </c>
      <c r="X37" s="1571"/>
      <c r="Y37" s="3398"/>
      <c r="Z37" s="3197" t="str">
        <f t="shared" si="15"/>
        <v>成新度</v>
      </c>
      <c r="AA37" s="1572">
        <f t="shared" si="3"/>
        <v>1</v>
      </c>
      <c r="AB37" s="1572">
        <f t="shared" si="4"/>
        <v>1</v>
      </c>
      <c r="AC37" s="1572">
        <f t="shared" si="5"/>
        <v>1</v>
      </c>
    </row>
    <row r="38" spans="1:29" ht="15" hidden="1">
      <c r="A38" s="594"/>
      <c r="B38" s="527" t="s">
        <v>731</v>
      </c>
      <c r="C38" s="599" t="s">
        <v>3047</v>
      </c>
      <c r="D38" s="540">
        <v>100</v>
      </c>
      <c r="E38" s="874" t="s">
        <v>3047</v>
      </c>
      <c r="F38" s="575">
        <f>SUMIF(114:114,E38,115:115)-SUMIF(114:114,C38,115:115)+100</f>
        <v>100</v>
      </c>
      <c r="G38" s="599" t="s">
        <v>3047</v>
      </c>
      <c r="H38" s="540">
        <f>SUMIF(114:114,G38,115:115)-SUMIF(114:114,C38,115:115)+100</f>
        <v>100</v>
      </c>
      <c r="I38" s="874" t="s">
        <v>3047</v>
      </c>
      <c r="J38" s="540">
        <f>SUMIF(114:114,I38,115:115)-SUMIF(114:114,C38,115:115)+100</f>
        <v>100</v>
      </c>
      <c r="K38" s="864"/>
      <c r="L38" s="2143"/>
      <c r="M38" s="2135"/>
      <c r="N38" s="2135"/>
      <c r="O38" s="2142"/>
      <c r="P38" s="3398" t="s">
        <v>550</v>
      </c>
      <c r="Q38" s="3199" t="str">
        <f t="shared" si="11"/>
        <v>物业管理</v>
      </c>
      <c r="R38" s="1574" t="s">
        <v>11</v>
      </c>
      <c r="S38" s="1575">
        <f t="shared" si="12"/>
        <v>100</v>
      </c>
      <c r="T38" s="1574" t="s">
        <v>11</v>
      </c>
      <c r="U38" s="1575">
        <f t="shared" si="13"/>
        <v>100</v>
      </c>
      <c r="V38" s="1574" t="s">
        <v>11</v>
      </c>
      <c r="W38" s="1575">
        <f t="shared" si="14"/>
        <v>100</v>
      </c>
      <c r="X38" s="3201"/>
      <c r="Y38" s="3398" t="s">
        <v>550</v>
      </c>
      <c r="Z38" s="3200" t="str">
        <f t="shared" si="15"/>
        <v>物业管理</v>
      </c>
      <c r="AA38" s="3202">
        <f t="shared" si="3"/>
        <v>1</v>
      </c>
      <c r="AB38" s="3202">
        <f t="shared" si="4"/>
        <v>1</v>
      </c>
      <c r="AC38" s="3202">
        <f t="shared" si="5"/>
        <v>1</v>
      </c>
    </row>
    <row r="39" spans="1:29" ht="15">
      <c r="A39" s="594"/>
      <c r="B39" s="1896" t="s">
        <v>2564</v>
      </c>
      <c r="C39" s="599" t="s">
        <v>3077</v>
      </c>
      <c r="D39" s="540">
        <v>100</v>
      </c>
      <c r="E39" s="599" t="s">
        <v>3077</v>
      </c>
      <c r="F39" s="575">
        <f>SUMIF(116:116,E39,117:117)-SUMIF(116:116,C39,117:117)+100</f>
        <v>100</v>
      </c>
      <c r="G39" s="599" t="s">
        <v>3077</v>
      </c>
      <c r="H39" s="540">
        <f>SUMIF(116:116,G39,117:117)-SUMIF(116:116,C39,117:117)+100</f>
        <v>100</v>
      </c>
      <c r="I39" s="599" t="s">
        <v>3077</v>
      </c>
      <c r="J39" s="540">
        <f>SUMIF(116:116,I39,117:117)-SUMIF(116:116,C39,117:117)+100</f>
        <v>100</v>
      </c>
      <c r="K39" s="864">
        <v>2</v>
      </c>
      <c r="L39" s="2143"/>
      <c r="M39" s="2135"/>
      <c r="N39" s="2135"/>
      <c r="O39" s="2142"/>
      <c r="P39" s="3398"/>
      <c r="Q39" s="3199" t="str">
        <f t="shared" si="11"/>
        <v>市政基础设施</v>
      </c>
      <c r="R39" s="1574" t="s">
        <v>11</v>
      </c>
      <c r="S39" s="1575">
        <f t="shared" si="12"/>
        <v>100</v>
      </c>
      <c r="T39" s="1574" t="s">
        <v>11</v>
      </c>
      <c r="U39" s="1575">
        <f t="shared" si="13"/>
        <v>100</v>
      </c>
      <c r="V39" s="1574" t="s">
        <v>11</v>
      </c>
      <c r="W39" s="1575">
        <f t="shared" si="14"/>
        <v>100</v>
      </c>
      <c r="X39" s="3201"/>
      <c r="Y39" s="3398"/>
      <c r="Z39" s="3200" t="str">
        <f t="shared" si="15"/>
        <v>市政基础设施</v>
      </c>
      <c r="AA39" s="3202">
        <f t="shared" si="3"/>
        <v>1</v>
      </c>
      <c r="AB39" s="3202">
        <f t="shared" si="4"/>
        <v>1</v>
      </c>
      <c r="AC39" s="3202">
        <f t="shared" si="5"/>
        <v>1</v>
      </c>
    </row>
    <row r="40" spans="1:29" ht="15" hidden="1">
      <c r="A40" s="594"/>
      <c r="B40" s="527" t="s">
        <v>732</v>
      </c>
      <c r="C40" s="599" t="s">
        <v>3048</v>
      </c>
      <c r="D40" s="540">
        <v>100</v>
      </c>
      <c r="E40" s="599" t="s">
        <v>3048</v>
      </c>
      <c r="F40" s="575">
        <f>SUMIF(118:118,E40,119:119)-SUMIF(118:118,C40,119:119)+100</f>
        <v>100</v>
      </c>
      <c r="G40" s="599" t="s">
        <v>3048</v>
      </c>
      <c r="H40" s="540">
        <f>SUMIF(118:118,G40,119:119)-SUMIF(118:118,C40,119:119)+100</f>
        <v>100</v>
      </c>
      <c r="I40" s="599" t="s">
        <v>3048</v>
      </c>
      <c r="J40" s="540">
        <f>SUMIF(118:118,I40,119:119)-SUMIF(118:118,C40,119:119)+100</f>
        <v>100</v>
      </c>
      <c r="K40" s="864">
        <v>10</v>
      </c>
      <c r="L40" s="2143"/>
      <c r="M40" s="2135"/>
      <c r="N40" s="2135"/>
      <c r="O40" s="2142"/>
      <c r="P40" s="3398"/>
      <c r="Q40" s="3199" t="str">
        <f t="shared" si="11"/>
        <v>房型</v>
      </c>
      <c r="R40" s="1574" t="s">
        <v>11</v>
      </c>
      <c r="S40" s="1575">
        <f t="shared" si="12"/>
        <v>100</v>
      </c>
      <c r="T40" s="1574" t="s">
        <v>11</v>
      </c>
      <c r="U40" s="1575">
        <f t="shared" si="13"/>
        <v>100</v>
      </c>
      <c r="V40" s="1574" t="s">
        <v>11</v>
      </c>
      <c r="W40" s="1575">
        <f t="shared" si="14"/>
        <v>100</v>
      </c>
      <c r="X40" s="3201"/>
      <c r="Y40" s="3398"/>
      <c r="Z40" s="3200" t="str">
        <f t="shared" si="15"/>
        <v>房型</v>
      </c>
      <c r="AA40" s="3202">
        <f t="shared" si="3"/>
        <v>1</v>
      </c>
      <c r="AB40" s="3202">
        <f t="shared" si="4"/>
        <v>1</v>
      </c>
      <c r="AC40" s="3202">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3202">
        <f t="shared" si="3"/>
        <v>1</v>
      </c>
      <c r="AB41" s="3202">
        <f t="shared" si="4"/>
        <v>1</v>
      </c>
      <c r="AC41" s="3202">
        <f t="shared" si="5"/>
        <v>1</v>
      </c>
    </row>
    <row r="42" spans="1:29" ht="15">
      <c r="A42" s="594"/>
      <c r="B42" s="527" t="s">
        <v>734</v>
      </c>
      <c r="C42" s="3195" t="s">
        <v>3079</v>
      </c>
      <c r="D42" s="540">
        <v>100</v>
      </c>
      <c r="E42" s="3195" t="s">
        <v>3049</v>
      </c>
      <c r="F42" s="575">
        <f>SUMIF(122:122,E42,123:123)-SUMIF(122:122,C42,123:123)+100</f>
        <v>85</v>
      </c>
      <c r="G42" s="3195" t="s">
        <v>3049</v>
      </c>
      <c r="H42" s="540">
        <f>SUMIF(122:122,G42,123:123)-SUMIF(122:122,C42,123:123)+100</f>
        <v>85</v>
      </c>
      <c r="I42" s="3195" t="s">
        <v>3079</v>
      </c>
      <c r="J42" s="540">
        <f>SUMIF(122:122,I42,123:123)-SUMIF(122:122,C42,123:123)+100</f>
        <v>100</v>
      </c>
      <c r="K42" s="3210">
        <v>5</v>
      </c>
      <c r="L42" s="2143"/>
      <c r="M42" s="2135"/>
      <c r="N42" s="2135"/>
      <c r="O42" s="2142"/>
      <c r="P42" s="3398"/>
      <c r="Q42" s="3199" t="str">
        <f t="shared" si="11"/>
        <v>内部装修</v>
      </c>
      <c r="R42" s="1574" t="s">
        <v>11</v>
      </c>
      <c r="S42" s="1575">
        <f t="shared" si="12"/>
        <v>85</v>
      </c>
      <c r="T42" s="1574" t="s">
        <v>11</v>
      </c>
      <c r="U42" s="1575">
        <f t="shared" si="13"/>
        <v>85</v>
      </c>
      <c r="V42" s="1574" t="s">
        <v>11</v>
      </c>
      <c r="W42" s="1575">
        <f t="shared" si="14"/>
        <v>100</v>
      </c>
      <c r="X42" s="3201"/>
      <c r="Y42" s="3398"/>
      <c r="Z42" s="3200" t="str">
        <f t="shared" si="15"/>
        <v>内部装修</v>
      </c>
      <c r="AA42" s="3202">
        <f t="shared" si="3"/>
        <v>1.1764705882352942</v>
      </c>
      <c r="AB42" s="3202">
        <f t="shared" si="4"/>
        <v>1.1764705882352942</v>
      </c>
      <c r="AC42" s="3202">
        <f t="shared" si="5"/>
        <v>1</v>
      </c>
    </row>
    <row r="43" spans="1:29" ht="27.75" thickBot="1">
      <c r="A43" s="594"/>
      <c r="B43" s="527" t="s">
        <v>735</v>
      </c>
      <c r="C43" s="599" t="s">
        <v>3027</v>
      </c>
      <c r="D43" s="540">
        <v>100</v>
      </c>
      <c r="E43" s="599" t="s">
        <v>3027</v>
      </c>
      <c r="F43" s="575">
        <f>SUMIF(124:124,E43,125:125)-SUMIF(124:124,C43,125:125)+100</f>
        <v>100</v>
      </c>
      <c r="G43" s="599" t="s">
        <v>3027</v>
      </c>
      <c r="H43" s="540">
        <f>SUMIF(124:124,G43,125:125)-SUMIF(124:124,C43,125:125)+100</f>
        <v>100</v>
      </c>
      <c r="I43" s="599" t="s">
        <v>3027</v>
      </c>
      <c r="J43" s="540">
        <f>SUMIF(124:124,I43,125:125)-SUMIF(124:124,C43,125:125)+100</f>
        <v>100</v>
      </c>
      <c r="K43" s="864">
        <v>2</v>
      </c>
      <c r="L43" s="2143"/>
      <c r="M43" s="2135"/>
      <c r="N43" s="2135"/>
      <c r="O43" s="2142"/>
      <c r="P43" s="3398"/>
      <c r="Q43" s="3199" t="str">
        <f t="shared" si="11"/>
        <v>内部装修维护情况</v>
      </c>
      <c r="R43" s="1574" t="s">
        <v>11</v>
      </c>
      <c r="S43" s="1575">
        <f t="shared" si="12"/>
        <v>100</v>
      </c>
      <c r="T43" s="1574" t="s">
        <v>11</v>
      </c>
      <c r="U43" s="1575">
        <f t="shared" si="13"/>
        <v>100</v>
      </c>
      <c r="V43" s="1574" t="s">
        <v>11</v>
      </c>
      <c r="W43" s="1575">
        <f t="shared" si="14"/>
        <v>100</v>
      </c>
      <c r="X43" s="3201"/>
      <c r="Y43" s="3398"/>
      <c r="Z43" s="3200" t="str">
        <f t="shared" si="15"/>
        <v>内部装修维护情况</v>
      </c>
      <c r="AA43" s="3202">
        <f t="shared" si="3"/>
        <v>1</v>
      </c>
      <c r="AB43" s="3202">
        <f t="shared" si="4"/>
        <v>1</v>
      </c>
      <c r="AC43" s="3202">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8"/>
      <c r="Q44" s="3198">
        <f t="shared" si="11"/>
        <v>111</v>
      </c>
      <c r="R44" s="1569" t="s">
        <v>11</v>
      </c>
      <c r="S44" s="1570">
        <f t="shared" si="12"/>
        <v>100</v>
      </c>
      <c r="T44" s="1569" t="s">
        <v>11</v>
      </c>
      <c r="U44" s="1570">
        <f t="shared" si="13"/>
        <v>100</v>
      </c>
      <c r="V44" s="1569" t="s">
        <v>11</v>
      </c>
      <c r="W44" s="1570">
        <f t="shared" si="14"/>
        <v>100</v>
      </c>
      <c r="X44" s="1571"/>
      <c r="Y44" s="3398"/>
      <c r="Z44" s="3197">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8"/>
      <c r="Q45" s="3199">
        <f t="shared" si="11"/>
        <v>111</v>
      </c>
      <c r="R45" s="1574" t="s">
        <v>11</v>
      </c>
      <c r="S45" s="1575">
        <f t="shared" si="12"/>
        <v>100</v>
      </c>
      <c r="T45" s="1574" t="s">
        <v>11</v>
      </c>
      <c r="U45" s="1575">
        <f t="shared" si="13"/>
        <v>100</v>
      </c>
      <c r="V45" s="1574" t="s">
        <v>11</v>
      </c>
      <c r="W45" s="1575">
        <f t="shared" si="14"/>
        <v>100</v>
      </c>
      <c r="X45" s="3201"/>
      <c r="Y45" s="3398"/>
      <c r="Z45" s="3200">
        <f t="shared" si="15"/>
        <v>111</v>
      </c>
      <c r="AA45" s="3202">
        <f t="shared" si="3"/>
        <v>1</v>
      </c>
      <c r="AB45" s="3202">
        <f t="shared" si="4"/>
        <v>1</v>
      </c>
      <c r="AC45" s="320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5"/>
      <c r="Q46" s="3199">
        <f t="shared" si="11"/>
        <v>111</v>
      </c>
      <c r="R46" s="1574" t="s">
        <v>10</v>
      </c>
      <c r="S46" s="1575">
        <f t="shared" si="12"/>
        <v>100</v>
      </c>
      <c r="T46" s="1574" t="s">
        <v>10</v>
      </c>
      <c r="U46" s="1575">
        <f t="shared" si="13"/>
        <v>100</v>
      </c>
      <c r="V46" s="1574" t="s">
        <v>10</v>
      </c>
      <c r="W46" s="1575">
        <f t="shared" si="14"/>
        <v>100</v>
      </c>
      <c r="X46" s="3201"/>
      <c r="Y46" s="3425"/>
      <c r="Z46" s="3200">
        <f t="shared" si="15"/>
        <v>111</v>
      </c>
      <c r="AA46" s="3202">
        <f t="shared" si="3"/>
        <v>1</v>
      </c>
      <c r="AB46" s="3202">
        <f t="shared" si="4"/>
        <v>1</v>
      </c>
      <c r="AC46" s="3202">
        <f t="shared" si="5"/>
        <v>1</v>
      </c>
    </row>
    <row r="47" spans="1:29" ht="15">
      <c r="A47" s="607" t="s">
        <v>736</v>
      </c>
      <c r="B47" s="887"/>
      <c r="C47" s="2607" t="s">
        <v>9</v>
      </c>
      <c r="D47" s="2608"/>
      <c r="E47" s="2609">
        <v>14000</v>
      </c>
      <c r="F47" s="2610"/>
      <c r="G47" s="3196">
        <v>14000</v>
      </c>
      <c r="H47" s="2612"/>
      <c r="I47" s="2609">
        <v>16000</v>
      </c>
      <c r="J47" s="2612"/>
      <c r="K47" s="1607"/>
      <c r="L47" s="2145"/>
      <c r="M47" s="2146"/>
      <c r="N47" s="2135"/>
      <c r="O47" s="2146"/>
      <c r="P47" s="3393" t="str">
        <f>A47</f>
        <v>成交单价（元/平方米）</v>
      </c>
      <c r="Q47" s="3393"/>
      <c r="R47" s="3426">
        <f>E47</f>
        <v>14000</v>
      </c>
      <c r="S47" s="3426"/>
      <c r="T47" s="3426">
        <f>G47</f>
        <v>14000</v>
      </c>
      <c r="U47" s="3426"/>
      <c r="V47" s="3426">
        <f>I47</f>
        <v>16000</v>
      </c>
      <c r="W47" s="3426"/>
      <c r="X47" s="1560"/>
      <c r="Y47" s="1582"/>
      <c r="Z47" s="1560"/>
      <c r="AA47" s="1560"/>
      <c r="AB47" s="1560"/>
      <c r="AC47" s="1560"/>
    </row>
    <row r="48" spans="1:29" ht="15.75" thickBot="1">
      <c r="A48" s="615" t="s">
        <v>2693</v>
      </c>
      <c r="B48" s="888"/>
      <c r="C48" s="2613">
        <f>R49</f>
        <v>16221</v>
      </c>
      <c r="D48" s="2614"/>
      <c r="E48" s="2615">
        <f>R48</f>
        <v>16471</v>
      </c>
      <c r="F48" s="2615"/>
      <c r="G48" s="2613">
        <f>T48</f>
        <v>16807</v>
      </c>
      <c r="H48" s="2614"/>
      <c r="I48" s="2615">
        <f>V48</f>
        <v>15385</v>
      </c>
      <c r="J48" s="2614"/>
      <c r="K48" s="1608"/>
      <c r="L48" s="2145"/>
      <c r="M48" s="2146"/>
      <c r="N48" s="2146"/>
      <c r="O48" s="2146"/>
      <c r="P48" s="3393" t="str">
        <f>A48</f>
        <v>比较价格（元/平方米）</v>
      </c>
      <c r="Q48" s="3393"/>
      <c r="R48" s="3426">
        <f>IF(F1="售价",ROUND(PRODUCT(R47,AA7:AA46),0),ROUND(PRODUCT(R47,AA7:AA46),1))</f>
        <v>16471</v>
      </c>
      <c r="S48" s="3426"/>
      <c r="T48" s="3426">
        <f>IF(F1="售价",ROUND(PRODUCT(T47,AB7:AB46),0),ROUND(PRODUCT(T47,AB7:AB46),1))</f>
        <v>16807</v>
      </c>
      <c r="U48" s="3426"/>
      <c r="V48" s="3426">
        <f>IF(F1="售价",ROUND(PRODUCT(V47,AC7:AC46),0),ROUND(PRODUCT(V47,AC7:AC46),1))</f>
        <v>15385</v>
      </c>
      <c r="W48" s="3426"/>
      <c r="X48" s="1560"/>
      <c r="Y48" s="1560"/>
      <c r="Z48" s="1560"/>
      <c r="AA48" s="1560"/>
      <c r="AB48" s="1560"/>
      <c r="AC48" s="1560"/>
    </row>
    <row r="49" spans="1:29" ht="15.75" thickBot="1">
      <c r="A49" s="621" t="s">
        <v>2935</v>
      </c>
      <c r="B49" s="622"/>
      <c r="C49" s="2616">
        <f>R49</f>
        <v>16221</v>
      </c>
      <c r="D49" s="2616"/>
      <c r="E49" s="2616"/>
      <c r="F49" s="2616"/>
      <c r="G49" s="2616"/>
      <c r="H49" s="2616"/>
      <c r="I49" s="2616"/>
      <c r="J49" s="2616"/>
      <c r="K49" s="1609"/>
      <c r="L49" s="2145"/>
      <c r="M49" s="2146"/>
      <c r="N49" s="2146"/>
      <c r="O49" s="2146"/>
      <c r="P49" s="3414" t="str">
        <f>A49</f>
        <v>估价对象XX用房的比较价格（楼面单价，元/平方米）</v>
      </c>
      <c r="Q49" s="3415"/>
      <c r="R49" s="3427">
        <f>IF(F1="售价",ROUND(AVERAGE(R48:V48),0),ROUND(AVERAGE(R48:V48),1))</f>
        <v>16221</v>
      </c>
      <c r="S49" s="3427"/>
      <c r="T49" s="3427"/>
      <c r="U49" s="3427"/>
      <c r="V49" s="3427"/>
      <c r="W49" s="342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0.1765000000000001</v>
      </c>
      <c r="F52" s="627" t="str">
        <f>IF(OR(E52&gt;=0.3,E52&lt;=-0.3),"超过30%","")</f>
        <v/>
      </c>
      <c r="G52" s="626">
        <f>IF(G47&lt;G48,G48/G47-1,G47/G48-1)</f>
        <v>0.2004999999999999</v>
      </c>
      <c r="H52" s="627" t="str">
        <f>IF(OR(G52&gt;=0.3,G52&lt;=-0.3),"超过30%","")</f>
        <v/>
      </c>
      <c r="I52" s="626">
        <f>IF(I47&lt;I48,I48/I47-1,I47/I48-1)</f>
        <v>3.9974000649983799E-2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2.0399490012749766E-2</v>
      </c>
      <c r="F53" s="627" t="str">
        <f>IF(OR(E53&gt;=0.2,E53&lt;=-0.2),"超过20%","")</f>
        <v/>
      </c>
      <c r="G53" s="626">
        <f>IF(G48&lt;I48,I48/G48-1,G48/I48-1)</f>
        <v>9.2427689307767347E-2</v>
      </c>
      <c r="H53" s="627" t="str">
        <f>IF(OR(G53&gt;=0.2,G53&lt;=-0.2),"超过20%","")</f>
        <v/>
      </c>
      <c r="I53" s="626">
        <f>IF(I48&lt;E48,E48/I48-1,I48/E48-1)</f>
        <v>7.0588235294117618E-2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0.14285714285714279</v>
      </c>
      <c r="H54" s="627" t="str">
        <f>IF(OR(G54&gt;=0.3,G54&lt;=-0.3),"超过30%","")</f>
        <v/>
      </c>
      <c r="I54" s="626">
        <f>IF(I47&lt;E47,E47/I47-1,I47/E47-1)</f>
        <v>0.14285714285714279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C68+2</f>
        <v>2</v>
      </c>
      <c r="E68" s="541">
        <f t="shared" ref="E68:J68" si="19">D68+2</f>
        <v>4</v>
      </c>
      <c r="F68" s="541">
        <f t="shared" si="19"/>
        <v>6</v>
      </c>
      <c r="G68" s="541">
        <f t="shared" si="19"/>
        <v>8</v>
      </c>
      <c r="H68" s="541">
        <f t="shared" si="19"/>
        <v>10</v>
      </c>
      <c r="I68" s="541">
        <f t="shared" si="19"/>
        <v>12</v>
      </c>
      <c r="J68" s="541">
        <f t="shared" si="19"/>
        <v>14</v>
      </c>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2547</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92" t="s">
        <v>3084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4">D103&amp;"(含)"&amp;"-"&amp;E103</f>
        <v>500000(含)-1000000</v>
      </c>
      <c r="E102" s="708" t="str">
        <f t="shared" si="24"/>
        <v>1000000(含)-1500000</v>
      </c>
      <c r="F102" s="708" t="str">
        <f t="shared" si="24"/>
        <v>1500000(含)-2000000</v>
      </c>
      <c r="G102" s="708" t="str">
        <f t="shared" si="24"/>
        <v>2000000(含)-2500000</v>
      </c>
      <c r="H102" s="708" t="str">
        <f t="shared" si="24"/>
        <v>2500000(含)-3000000</v>
      </c>
      <c r="I102" s="708" t="str">
        <f t="shared" si="24"/>
        <v>3000000(含)-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f>C103+500000</f>
        <v>500000</v>
      </c>
      <c r="E103" s="730">
        <f t="shared" ref="E103:I103" si="25">D103+500000</f>
        <v>1000000</v>
      </c>
      <c r="F103" s="730">
        <f t="shared" si="25"/>
        <v>1500000</v>
      </c>
      <c r="G103" s="730">
        <f t="shared" si="25"/>
        <v>2000000</v>
      </c>
      <c r="H103" s="730">
        <f t="shared" si="25"/>
        <v>2500000</v>
      </c>
      <c r="I103" s="730">
        <f t="shared" si="25"/>
        <v>3000000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94" t="s">
        <v>3086</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3078</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3051</v>
      </c>
      <c r="D118" s="3193" t="s">
        <v>3052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31">C119-$K40</f>
        <v>90</v>
      </c>
      <c r="E119" s="679">
        <f t="shared" si="31"/>
        <v>80</v>
      </c>
      <c r="F119" s="679">
        <f t="shared" si="31"/>
        <v>70</v>
      </c>
      <c r="G119" s="679">
        <f t="shared" si="31"/>
        <v>60</v>
      </c>
      <c r="H119" s="679">
        <f t="shared" si="31"/>
        <v>50</v>
      </c>
      <c r="I119" s="679">
        <f t="shared" si="31"/>
        <v>40</v>
      </c>
      <c r="J119" s="679">
        <f t="shared" si="31"/>
        <v>30</v>
      </c>
      <c r="K119" s="679">
        <f t="shared" si="31"/>
        <v>20</v>
      </c>
      <c r="L119" s="679">
        <f t="shared" si="31"/>
        <v>10</v>
      </c>
      <c r="M119" s="679">
        <f t="shared" si="31"/>
        <v>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3080</v>
      </c>
      <c r="D122" s="3194" t="s">
        <v>3081</v>
      </c>
      <c r="E122" s="3194" t="s">
        <v>3082</v>
      </c>
      <c r="F122" s="3193" t="s">
        <v>3083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2">C123-$K42</f>
        <v>95</v>
      </c>
      <c r="E123" s="679">
        <f t="shared" si="32"/>
        <v>90</v>
      </c>
      <c r="F123" s="679">
        <f t="shared" si="32"/>
        <v>85</v>
      </c>
      <c r="G123" s="679">
        <f t="shared" si="32"/>
        <v>80</v>
      </c>
      <c r="H123" s="679">
        <f t="shared" si="32"/>
        <v>75</v>
      </c>
      <c r="I123" s="679">
        <f t="shared" si="32"/>
        <v>70</v>
      </c>
      <c r="J123" s="679">
        <f t="shared" si="32"/>
        <v>65</v>
      </c>
      <c r="K123" s="679">
        <f t="shared" si="32"/>
        <v>60</v>
      </c>
      <c r="L123" s="679">
        <f t="shared" si="32"/>
        <v>55</v>
      </c>
      <c r="M123" s="679">
        <f t="shared" si="32"/>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3063</v>
      </c>
      <c r="E1" s="2606"/>
      <c r="F1" s="2786" t="s">
        <v>3053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37748</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12331</v>
      </c>
      <c r="C3" s="852" t="s">
        <v>722</v>
      </c>
      <c r="D3" s="851">
        <f>SUMIF('数据-汇总表'!$C19:$C33,D1,'数据-汇总表'!$E19:$E33)</f>
        <v>30612</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9" t="s">
        <v>522</v>
      </c>
      <c r="D4" s="3400"/>
      <c r="E4" s="3418" t="s">
        <v>523</v>
      </c>
      <c r="F4" s="3419"/>
      <c r="G4" s="3399" t="s">
        <v>524</v>
      </c>
      <c r="H4" s="3400"/>
      <c r="I4" s="3399" t="s">
        <v>525</v>
      </c>
      <c r="J4" s="3400"/>
      <c r="K4" s="853" t="s">
        <v>526</v>
      </c>
      <c r="L4" s="2134"/>
      <c r="M4" s="2135"/>
      <c r="N4" s="2135"/>
      <c r="O4" s="2135"/>
      <c r="P4" s="3401" t="s">
        <v>527</v>
      </c>
      <c r="Q4" s="3402"/>
      <c r="R4" s="3387" t="s">
        <v>523</v>
      </c>
      <c r="S4" s="3388"/>
      <c r="T4" s="3387" t="s">
        <v>524</v>
      </c>
      <c r="U4" s="3388"/>
      <c r="V4" s="3407" t="s">
        <v>525</v>
      </c>
      <c r="W4" s="3407"/>
      <c r="X4" s="1568"/>
      <c r="Y4" s="3387" t="s">
        <v>527</v>
      </c>
      <c r="Z4" s="3388"/>
      <c r="AA4" s="3382" t="s">
        <v>523</v>
      </c>
      <c r="AB4" s="3382" t="s">
        <v>524</v>
      </c>
      <c r="AC4" s="3382" t="s">
        <v>525</v>
      </c>
    </row>
    <row r="5" spans="1:29" ht="15">
      <c r="A5" s="515"/>
      <c r="B5" s="516"/>
      <c r="C5" s="3410" t="s">
        <v>2929</v>
      </c>
      <c r="D5" s="3411"/>
      <c r="E5" s="3420" t="s">
        <v>3076</v>
      </c>
      <c r="F5" s="3421"/>
      <c r="G5" s="3422" t="s">
        <v>3073</v>
      </c>
      <c r="H5" s="3411"/>
      <c r="I5" s="3422" t="s">
        <v>3056</v>
      </c>
      <c r="J5" s="3411"/>
      <c r="K5" s="854"/>
      <c r="L5" s="2134"/>
      <c r="M5" s="2135"/>
      <c r="N5" s="2135"/>
      <c r="O5" s="2135"/>
      <c r="P5" s="3403"/>
      <c r="Q5" s="3404"/>
      <c r="R5" s="3389"/>
      <c r="S5" s="3390"/>
      <c r="T5" s="3389"/>
      <c r="U5" s="3390"/>
      <c r="V5" s="3407"/>
      <c r="W5" s="3407"/>
      <c r="X5" s="1568"/>
      <c r="Y5" s="3389"/>
      <c r="Z5" s="3390"/>
      <c r="AA5" s="3383"/>
      <c r="AB5" s="3383"/>
      <c r="AC5" s="3383"/>
    </row>
    <row r="6" spans="1:29" ht="15.75" thickBot="1">
      <c r="A6" s="517"/>
      <c r="B6" s="518"/>
      <c r="C6" s="3408" t="s">
        <v>2933</v>
      </c>
      <c r="D6" s="3409"/>
      <c r="E6" s="3423" t="s">
        <v>2933</v>
      </c>
      <c r="F6" s="3424"/>
      <c r="G6" s="3408" t="s">
        <v>2933</v>
      </c>
      <c r="H6" s="3409"/>
      <c r="I6" s="3408" t="s">
        <v>2933</v>
      </c>
      <c r="J6" s="3409"/>
      <c r="K6" s="854" t="s">
        <v>528</v>
      </c>
      <c r="L6" s="2134"/>
      <c r="M6" s="2135"/>
      <c r="N6" s="2135"/>
      <c r="O6" s="2135"/>
      <c r="P6" s="3405"/>
      <c r="Q6" s="3406"/>
      <c r="R6" s="3389"/>
      <c r="S6" s="3390"/>
      <c r="T6" s="3391"/>
      <c r="U6" s="3392"/>
      <c r="V6" s="3407"/>
      <c r="W6" s="3407"/>
      <c r="X6" s="1568"/>
      <c r="Y6" s="3391"/>
      <c r="Z6" s="3392"/>
      <c r="AA6" s="3384"/>
      <c r="AB6" s="3384"/>
      <c r="AC6" s="3384"/>
    </row>
    <row r="7" spans="1:29" s="1220" customFormat="1" ht="15.75" thickBot="1">
      <c r="A7" s="2891"/>
      <c r="B7" s="2898" t="s">
        <v>529</v>
      </c>
      <c r="C7" s="519">
        <f>'数据-取费表'!B2</f>
        <v>43564</v>
      </c>
      <c r="D7" s="520">
        <v>100</v>
      </c>
      <c r="E7" s="521">
        <f>C7</f>
        <v>43564</v>
      </c>
      <c r="F7" s="522">
        <f>SUMIF(58:58,YEAR(E7)&amp;"-"&amp;MONTH(E7),59:59)</f>
        <v>100</v>
      </c>
      <c r="G7" s="523">
        <f>C7</f>
        <v>43564</v>
      </c>
      <c r="H7" s="520">
        <f>SUMIF(58:58,YEAR(G7)&amp;"-"&amp;MONTH(G7),59:59)</f>
        <v>100</v>
      </c>
      <c r="I7" s="523">
        <f>C7</f>
        <v>43564</v>
      </c>
      <c r="J7" s="520">
        <f>SUMIF(58:58,YEAR(I7)&amp;"-"&amp;MONTH(I7),59:59)</f>
        <v>100</v>
      </c>
      <c r="K7" s="855"/>
      <c r="L7" s="2136"/>
      <c r="M7" s="2137"/>
      <c r="N7" s="2137"/>
      <c r="O7" s="2137"/>
      <c r="P7" s="3385" t="s">
        <v>530</v>
      </c>
      <c r="Q7" s="3394"/>
      <c r="R7" s="1569" t="s">
        <v>13</v>
      </c>
      <c r="S7" s="1570">
        <f t="shared" ref="S7:S15" si="0">F7</f>
        <v>100</v>
      </c>
      <c r="T7" s="1569" t="s">
        <v>13</v>
      </c>
      <c r="U7" s="1570">
        <f t="shared" ref="U7:U15" si="1">H7</f>
        <v>100</v>
      </c>
      <c r="V7" s="1569" t="s">
        <v>13</v>
      </c>
      <c r="W7" s="1570">
        <f t="shared" ref="W7:W15" si="2">J7</f>
        <v>100</v>
      </c>
      <c r="X7" s="1571"/>
      <c r="Y7" s="3385" t="s">
        <v>530</v>
      </c>
      <c r="Z7" s="3386"/>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85" t="s">
        <v>533</v>
      </c>
      <c r="Q8" s="3386"/>
      <c r="R8" s="1569" t="s">
        <v>13</v>
      </c>
      <c r="S8" s="1570">
        <f t="shared" si="0"/>
        <v>100</v>
      </c>
      <c r="T8" s="1569" t="s">
        <v>13</v>
      </c>
      <c r="U8" s="1570">
        <f t="shared" si="1"/>
        <v>100</v>
      </c>
      <c r="V8" s="1569" t="s">
        <v>13</v>
      </c>
      <c r="W8" s="1570">
        <f t="shared" si="2"/>
        <v>100</v>
      </c>
      <c r="X8" s="1571"/>
      <c r="Y8" s="3385" t="s">
        <v>533</v>
      </c>
      <c r="Z8" s="3386"/>
      <c r="AA8" s="1572">
        <f t="shared" ref="AA8:AA46" si="3">D8/F8</f>
        <v>1</v>
      </c>
      <c r="AB8" s="1572">
        <f t="shared" ref="AB8:AB46" si="4">D8/H8</f>
        <v>1</v>
      </c>
      <c r="AC8" s="1572">
        <f t="shared" ref="AC8:AC46" si="5">D8/J8</f>
        <v>1</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3" t="s">
        <v>535</v>
      </c>
      <c r="Q9" s="1151" t="str">
        <f t="shared" ref="Q9:Q15" si="6">B9</f>
        <v>用途</v>
      </c>
      <c r="R9" s="1569" t="s">
        <v>8</v>
      </c>
      <c r="S9" s="1570">
        <f t="shared" si="0"/>
        <v>100</v>
      </c>
      <c r="T9" s="1569" t="s">
        <v>8</v>
      </c>
      <c r="U9" s="1570">
        <f t="shared" si="1"/>
        <v>100</v>
      </c>
      <c r="V9" s="1569" t="s">
        <v>8</v>
      </c>
      <c r="W9" s="1570">
        <f t="shared" si="2"/>
        <v>100</v>
      </c>
      <c r="X9" s="1571"/>
      <c r="Y9" s="3350" t="s">
        <v>536</v>
      </c>
      <c r="Z9" s="1150" t="str">
        <f t="shared" ref="Z9:Z15" si="7">Q9</f>
        <v>用途</v>
      </c>
      <c r="AA9" s="1572">
        <f t="shared" si="3"/>
        <v>1</v>
      </c>
      <c r="AB9" s="1572">
        <f t="shared" si="4"/>
        <v>1</v>
      </c>
      <c r="AC9" s="1572">
        <f t="shared" si="5"/>
        <v>1</v>
      </c>
    </row>
    <row r="10" spans="1:29" s="1338" customFormat="1" ht="27">
      <c r="A10" s="2894"/>
      <c r="B10" s="2899" t="s">
        <v>2757</v>
      </c>
      <c r="C10" s="861" t="s">
        <v>3085</v>
      </c>
      <c r="D10" s="255">
        <v>100</v>
      </c>
      <c r="E10" s="861" t="s">
        <v>3085</v>
      </c>
      <c r="F10" s="863">
        <f>SUMIF(65:65,E10,66:66)-SUMIF(65:65,C10,66:66)+100</f>
        <v>100</v>
      </c>
      <c r="G10" s="861" t="s">
        <v>3085</v>
      </c>
      <c r="H10" s="255">
        <f>SUMIF(65:65,G10,66:66)-SUMIF(65:65,C10,66:66)+100</f>
        <v>100</v>
      </c>
      <c r="I10" s="861" t="s">
        <v>3085</v>
      </c>
      <c r="J10" s="255">
        <f>SUMIF(65:65,I10,66:66)-SUMIF(65:65,C10,66:66)+100</f>
        <v>100</v>
      </c>
      <c r="K10" s="864"/>
      <c r="L10" s="2139"/>
      <c r="M10" s="2179"/>
      <c r="N10" s="2179"/>
      <c r="O10" s="214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75" thickBot="1">
      <c r="A11" s="2895"/>
      <c r="B11" s="2899" t="s">
        <v>2758</v>
      </c>
      <c r="C11" s="533">
        <f>'数据-汇总表'!I6</f>
        <v>3.79</v>
      </c>
      <c r="D11" s="255">
        <v>100</v>
      </c>
      <c r="E11" s="534">
        <v>3.99</v>
      </c>
      <c r="F11" s="863">
        <f>LOOKUP(E11,68:68,69:69)-LOOKUP(C11,68:68,69:69)+100</f>
        <v>100</v>
      </c>
      <c r="G11" s="533">
        <v>4.2300000000000004</v>
      </c>
      <c r="H11" s="255">
        <f>LOOKUP(G11,68:68,69:69)-LOOKUP(C11,68:68,69:69)+100</f>
        <v>98</v>
      </c>
      <c r="I11" s="533">
        <v>3.5</v>
      </c>
      <c r="J11" s="255">
        <f>LOOKUP(I11,68:68,69:69)-LOOKUP(C11,68:68,69:69)+100</f>
        <v>100</v>
      </c>
      <c r="K11" s="864">
        <v>2</v>
      </c>
      <c r="L11" s="2141"/>
      <c r="M11" s="2135"/>
      <c r="N11" s="2135"/>
      <c r="O11" s="2142"/>
      <c r="P11" s="3393"/>
      <c r="Q11" s="1151" t="str">
        <f t="shared" si="6"/>
        <v>容积率</v>
      </c>
      <c r="R11" s="1569" t="s">
        <v>11</v>
      </c>
      <c r="S11" s="1570">
        <f t="shared" si="0"/>
        <v>100</v>
      </c>
      <c r="T11" s="1569" t="s">
        <v>11</v>
      </c>
      <c r="U11" s="1570">
        <f t="shared" si="1"/>
        <v>98</v>
      </c>
      <c r="V11" s="1569" t="s">
        <v>11</v>
      </c>
      <c r="W11" s="1570">
        <f t="shared" si="2"/>
        <v>100</v>
      </c>
      <c r="X11" s="1571"/>
      <c r="Y11" s="3350"/>
      <c r="Z11" s="1150" t="str">
        <f t="shared" si="7"/>
        <v>容积率</v>
      </c>
      <c r="AA11" s="1572">
        <f t="shared" si="3"/>
        <v>1</v>
      </c>
      <c r="AB11" s="1572">
        <f t="shared" si="4"/>
        <v>1.0204081632653061</v>
      </c>
      <c r="AC11" s="1572">
        <f t="shared" si="5"/>
        <v>1</v>
      </c>
    </row>
    <row r="12" spans="1:29" s="1220" customFormat="1" ht="15" hidden="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3"/>
      <c r="Q12" s="1151">
        <f t="shared" si="6"/>
        <v>111</v>
      </c>
      <c r="R12" s="1569" t="s">
        <v>11</v>
      </c>
      <c r="S12" s="1570">
        <f t="shared" si="0"/>
        <v>100</v>
      </c>
      <c r="T12" s="1569" t="s">
        <v>11</v>
      </c>
      <c r="U12" s="1570">
        <f t="shared" si="1"/>
        <v>100</v>
      </c>
      <c r="V12" s="1569" t="s">
        <v>11</v>
      </c>
      <c r="W12" s="1570">
        <f t="shared" si="2"/>
        <v>100</v>
      </c>
      <c r="X12" s="1571"/>
      <c r="Y12" s="3350"/>
      <c r="Z12" s="1150">
        <f t="shared" si="7"/>
        <v>111</v>
      </c>
      <c r="AA12" s="1572">
        <f>D12/F12</f>
        <v>1</v>
      </c>
      <c r="AB12" s="1572">
        <f>D12/H12</f>
        <v>1</v>
      </c>
      <c r="AC12" s="1572">
        <f>D12/J12</f>
        <v>1</v>
      </c>
    </row>
    <row r="13" spans="1:29" ht="15" hidden="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3"/>
      <c r="Q13" s="1151">
        <f t="shared" si="6"/>
        <v>111</v>
      </c>
      <c r="R13" s="1569" t="s">
        <v>11</v>
      </c>
      <c r="S13" s="1570">
        <f t="shared" si="0"/>
        <v>100</v>
      </c>
      <c r="T13" s="1569" t="s">
        <v>11</v>
      </c>
      <c r="U13" s="1570">
        <f t="shared" si="1"/>
        <v>100</v>
      </c>
      <c r="V13" s="1569" t="s">
        <v>11</v>
      </c>
      <c r="W13" s="1570">
        <f t="shared" si="2"/>
        <v>100</v>
      </c>
      <c r="X13" s="1571"/>
      <c r="Y13" s="3350"/>
      <c r="Z13" s="1150">
        <f t="shared" si="7"/>
        <v>111</v>
      </c>
      <c r="AA13" s="1572">
        <f t="shared" si="3"/>
        <v>1</v>
      </c>
      <c r="AB13" s="1572">
        <f t="shared" si="4"/>
        <v>1</v>
      </c>
      <c r="AC13" s="1572">
        <f t="shared" si="5"/>
        <v>1</v>
      </c>
    </row>
    <row r="14" spans="1:29" ht="15.75"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3"/>
      <c r="Q14" s="1151">
        <f t="shared" si="6"/>
        <v>111</v>
      </c>
      <c r="R14" s="1569" t="s">
        <v>11</v>
      </c>
      <c r="S14" s="1570">
        <f t="shared" si="0"/>
        <v>100</v>
      </c>
      <c r="T14" s="1569" t="s">
        <v>11</v>
      </c>
      <c r="U14" s="1570">
        <f t="shared" si="1"/>
        <v>100</v>
      </c>
      <c r="V14" s="1569" t="s">
        <v>11</v>
      </c>
      <c r="W14" s="1570">
        <f t="shared" si="2"/>
        <v>100</v>
      </c>
      <c r="X14" s="1571"/>
      <c r="Y14" s="3350"/>
      <c r="Z14" s="1150">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95" t="s">
        <v>540</v>
      </c>
      <c r="Q15" s="1573" t="str">
        <f t="shared" si="6"/>
        <v>居住社区成熟度</v>
      </c>
      <c r="R15" s="1574" t="s">
        <v>11</v>
      </c>
      <c r="S15" s="1575">
        <f t="shared" si="0"/>
        <v>100</v>
      </c>
      <c r="T15" s="1574" t="s">
        <v>11</v>
      </c>
      <c r="U15" s="1575">
        <f t="shared" si="1"/>
        <v>100</v>
      </c>
      <c r="V15" s="1574" t="s">
        <v>11</v>
      </c>
      <c r="W15" s="1575">
        <f t="shared" si="2"/>
        <v>100</v>
      </c>
      <c r="X15" s="1568"/>
      <c r="Y15" s="3395" t="s">
        <v>540</v>
      </c>
      <c r="Z15" s="1576" t="str">
        <f t="shared" si="7"/>
        <v>居住社区成熟度</v>
      </c>
      <c r="AA15" s="1577">
        <f t="shared" si="3"/>
        <v>1</v>
      </c>
      <c r="AB15" s="1577">
        <f t="shared" si="4"/>
        <v>1</v>
      </c>
      <c r="AC15" s="1577">
        <f t="shared" si="5"/>
        <v>1</v>
      </c>
    </row>
    <row r="16" spans="1:29" ht="15">
      <c r="A16" s="532"/>
      <c r="B16" s="869"/>
      <c r="C16" s="576" t="s">
        <v>3027</v>
      </c>
      <c r="D16" s="555"/>
      <c r="E16" s="576" t="s">
        <v>3027</v>
      </c>
      <c r="F16" s="557"/>
      <c r="G16" s="576" t="s">
        <v>3027</v>
      </c>
      <c r="H16" s="559"/>
      <c r="I16" s="576" t="s">
        <v>3027</v>
      </c>
      <c r="J16" s="555"/>
      <c r="K16" s="870"/>
      <c r="L16" s="2143"/>
      <c r="M16" s="2135"/>
      <c r="N16" s="2135"/>
      <c r="O16" s="2142"/>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96"/>
      <c r="Q17" s="1573" t="str">
        <f>B17</f>
        <v>交通便捷度</v>
      </c>
      <c r="R17" s="1574" t="s">
        <v>11</v>
      </c>
      <c r="S17" s="1575">
        <f>F17</f>
        <v>100</v>
      </c>
      <c r="T17" s="1574" t="s">
        <v>11</v>
      </c>
      <c r="U17" s="1575">
        <f>H17</f>
        <v>100</v>
      </c>
      <c r="V17" s="1574" t="s">
        <v>11</v>
      </c>
      <c r="W17" s="1575">
        <f>J17</f>
        <v>100</v>
      </c>
      <c r="X17" s="1568"/>
      <c r="Y17" s="3396"/>
      <c r="Z17" s="1576" t="str">
        <f>Q17</f>
        <v>交通便捷度</v>
      </c>
      <c r="AA17" s="1577">
        <f t="shared" si="3"/>
        <v>1</v>
      </c>
      <c r="AB17" s="1577">
        <f t="shared" si="4"/>
        <v>1</v>
      </c>
      <c r="AC17" s="1577">
        <f t="shared" si="5"/>
        <v>1</v>
      </c>
    </row>
    <row r="18" spans="1:29" ht="15">
      <c r="A18" s="532"/>
      <c r="B18" s="595"/>
      <c r="C18" s="873" t="s">
        <v>3025</v>
      </c>
      <c r="D18" s="559"/>
      <c r="E18" s="873" t="s">
        <v>3025</v>
      </c>
      <c r="F18" s="563"/>
      <c r="G18" s="873" t="s">
        <v>3025</v>
      </c>
      <c r="H18" s="555"/>
      <c r="I18" s="568" t="s">
        <v>3025</v>
      </c>
      <c r="J18" s="555"/>
      <c r="K18" s="870"/>
      <c r="L18" s="2143"/>
      <c r="M18" s="2135"/>
      <c r="N18" s="2135"/>
      <c r="O18" s="2142"/>
      <c r="P18" s="3396"/>
      <c r="Q18" s="1573"/>
      <c r="R18" s="1574"/>
      <c r="S18" s="1575"/>
      <c r="T18" s="1574"/>
      <c r="U18" s="1575"/>
      <c r="V18" s="1574"/>
      <c r="W18" s="1575"/>
      <c r="X18" s="1568"/>
      <c r="Y18" s="3396"/>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3"/>
      <c r="M19" s="2135"/>
      <c r="N19" s="2135"/>
      <c r="O19" s="2142"/>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2"/>
      <c r="B20" s="595"/>
      <c r="C20" s="576" t="s">
        <v>3025</v>
      </c>
      <c r="D20" s="555"/>
      <c r="E20" s="576" t="s">
        <v>3025</v>
      </c>
      <c r="F20" s="557"/>
      <c r="G20" s="576" t="s">
        <v>3025</v>
      </c>
      <c r="H20" s="555"/>
      <c r="I20" s="576" t="s">
        <v>3025</v>
      </c>
      <c r="J20" s="555"/>
      <c r="K20" s="870"/>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96"/>
      <c r="Q21" s="2559" t="str">
        <f>B21</f>
        <v>基础设施水平</v>
      </c>
      <c r="R21" s="1574" t="s">
        <v>11</v>
      </c>
      <c r="S21" s="1575">
        <f>F21</f>
        <v>100</v>
      </c>
      <c r="T21" s="1574" t="s">
        <v>11</v>
      </c>
      <c r="U21" s="1575">
        <f>H21</f>
        <v>100</v>
      </c>
      <c r="V21" s="1574" t="s">
        <v>11</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922"/>
      <c r="C22" s="873" t="s">
        <v>3028</v>
      </c>
      <c r="D22" s="555"/>
      <c r="E22" s="873" t="s">
        <v>3028</v>
      </c>
      <c r="F22" s="557"/>
      <c r="G22" s="873" t="s">
        <v>3028</v>
      </c>
      <c r="H22" s="555"/>
      <c r="I22" s="873" t="s">
        <v>3028</v>
      </c>
      <c r="J22" s="555"/>
      <c r="K22" s="2579"/>
      <c r="L22" s="2143"/>
      <c r="M22" s="2135"/>
      <c r="N22" s="2135"/>
      <c r="O22" s="2142"/>
      <c r="P22" s="3396"/>
      <c r="Q22" s="2559"/>
      <c r="R22" s="1574"/>
      <c r="S22" s="1575"/>
      <c r="T22" s="1574"/>
      <c r="U22" s="1575"/>
      <c r="V22" s="1574"/>
      <c r="W22" s="1575"/>
      <c r="X22" s="2561"/>
      <c r="Y22" s="339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75" thickBot="1">
      <c r="A24" s="532"/>
      <c r="B24" s="595"/>
      <c r="C24" s="576" t="s">
        <v>3025</v>
      </c>
      <c r="D24" s="555"/>
      <c r="E24" s="576" t="s">
        <v>3025</v>
      </c>
      <c r="F24" s="557"/>
      <c r="G24" s="576" t="s">
        <v>3025</v>
      </c>
      <c r="H24" s="555"/>
      <c r="I24" s="576" t="s">
        <v>3025</v>
      </c>
      <c r="J24" s="555"/>
      <c r="K24" s="870"/>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7" t="s">
        <v>550</v>
      </c>
      <c r="Q32" s="1573" t="str">
        <f t="shared" si="11"/>
        <v>建筑类型</v>
      </c>
      <c r="R32" s="1574" t="s">
        <v>11</v>
      </c>
      <c r="S32" s="1575">
        <f t="shared" si="12"/>
        <v>100</v>
      </c>
      <c r="T32" s="1574" t="s">
        <v>11</v>
      </c>
      <c r="U32" s="1575">
        <f t="shared" si="13"/>
        <v>100</v>
      </c>
      <c r="V32" s="1574" t="s">
        <v>11</v>
      </c>
      <c r="W32" s="1575">
        <f t="shared" si="14"/>
        <v>100</v>
      </c>
      <c r="X32" s="1568"/>
      <c r="Y32" s="3398" t="s">
        <v>550</v>
      </c>
      <c r="Z32" s="1576" t="str">
        <f t="shared" si="15"/>
        <v>建筑类型</v>
      </c>
      <c r="AA32" s="1577">
        <f t="shared" si="3"/>
        <v>1</v>
      </c>
      <c r="AB32" s="1577">
        <f t="shared" si="4"/>
        <v>1</v>
      </c>
      <c r="AC32" s="1577">
        <f t="shared" si="5"/>
        <v>1</v>
      </c>
    </row>
    <row r="33" spans="1:29" s="1339" customFormat="1" ht="15">
      <c r="A33" s="603"/>
      <c r="B33" s="527" t="s">
        <v>726</v>
      </c>
      <c r="C33" s="880">
        <f>'数据-基础表'!B3</f>
        <v>183164</v>
      </c>
      <c r="D33" s="255">
        <v>100</v>
      </c>
      <c r="E33" s="534">
        <v>110369</v>
      </c>
      <c r="F33" s="863">
        <f>LOOKUP(E33,103:103,104:104)-LOOKUP(C33,103:103,104:104)+100</f>
        <v>100</v>
      </c>
      <c r="G33" s="533">
        <v>300000</v>
      </c>
      <c r="H33" s="255">
        <f>LOOKUP(G33,103:103,104:104)-LOOKUP(C33,103:103,104:104)+100</f>
        <v>100</v>
      </c>
      <c r="I33" s="534">
        <v>2000000</v>
      </c>
      <c r="J33" s="255">
        <f>LOOKUP(I33,103:103,104:104)-LOOKUP(C33,103:103,104:104)+100</f>
        <v>104</v>
      </c>
      <c r="K33" s="865"/>
      <c r="L33" s="2141"/>
      <c r="M33" s="2172"/>
      <c r="N33" s="2172"/>
      <c r="O33" s="2144"/>
      <c r="P33" s="3398"/>
      <c r="Q33" s="1606" t="str">
        <f t="shared" si="11"/>
        <v>项目建筑规模</v>
      </c>
      <c r="R33" s="1578" t="s">
        <v>11</v>
      </c>
      <c r="S33" s="1579">
        <f t="shared" si="12"/>
        <v>100</v>
      </c>
      <c r="T33" s="1578" t="s">
        <v>11</v>
      </c>
      <c r="U33" s="1579">
        <f t="shared" si="13"/>
        <v>100</v>
      </c>
      <c r="V33" s="1578" t="s">
        <v>11</v>
      </c>
      <c r="W33" s="1579">
        <f t="shared" si="14"/>
        <v>104</v>
      </c>
      <c r="X33" s="1580"/>
      <c r="Y33" s="3398"/>
      <c r="Z33" s="1581" t="str">
        <f t="shared" si="15"/>
        <v>项目建筑规模</v>
      </c>
      <c r="AA33" s="1577">
        <f t="shared" si="3"/>
        <v>1</v>
      </c>
      <c r="AB33" s="1577">
        <f t="shared" si="4"/>
        <v>1</v>
      </c>
      <c r="AC33" s="1577">
        <f t="shared" si="5"/>
        <v>0.96153846153846156</v>
      </c>
    </row>
    <row r="34" spans="1:29" ht="15">
      <c r="A34" s="594"/>
      <c r="B34" s="527" t="s">
        <v>727</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2</v>
      </c>
      <c r="L34" s="2143"/>
      <c r="M34" s="2135"/>
      <c r="N34" s="2135"/>
      <c r="O34" s="2142"/>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t="s">
        <v>3045</v>
      </c>
      <c r="D35" s="540">
        <v>100</v>
      </c>
      <c r="E35" s="874" t="s">
        <v>3045</v>
      </c>
      <c r="F35" s="575">
        <f>SUMIF(107:107,E35,108:108)-SUMIF(107:107,C35,108:108)+100</f>
        <v>100</v>
      </c>
      <c r="G35" s="599" t="s">
        <v>3045</v>
      </c>
      <c r="H35" s="540">
        <f>SUMIF(107:107,G35,108:108)-SUMIF(107:107,C35,108:108)+100</f>
        <v>100</v>
      </c>
      <c r="I35" s="874" t="s">
        <v>3045</v>
      </c>
      <c r="J35" s="540">
        <f>SUMIF(107:107,I35,108:108)-SUMIF(107:107,C35,108:108)+100</f>
        <v>100</v>
      </c>
      <c r="K35" s="864">
        <v>2</v>
      </c>
      <c r="L35" s="2143"/>
      <c r="M35" s="2135"/>
      <c r="N35" s="2135"/>
      <c r="O35" s="2142"/>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729</v>
      </c>
      <c r="C36" s="599" t="s">
        <v>3046</v>
      </c>
      <c r="D36" s="540">
        <v>100</v>
      </c>
      <c r="E36" s="874" t="s">
        <v>3046</v>
      </c>
      <c r="F36" s="575">
        <f>SUMIF(109:109,E36,110:110)-SUMIF(109:109,C36,110:110)+100</f>
        <v>100</v>
      </c>
      <c r="G36" s="599" t="s">
        <v>3046</v>
      </c>
      <c r="H36" s="540">
        <f>SUMIF(109:109,G36,110:110)-SUMIF(109:109,C36,110:110)+100</f>
        <v>100</v>
      </c>
      <c r="I36" s="874" t="s">
        <v>3046</v>
      </c>
      <c r="J36" s="540">
        <f>SUMIF(109:109,I36,110:110)-SUMIF(109:109,C36,110:110)+100</f>
        <v>100</v>
      </c>
      <c r="K36" s="864">
        <v>2</v>
      </c>
      <c r="L36" s="2143"/>
      <c r="M36" s="2135"/>
      <c r="N36" s="2135"/>
      <c r="O36" s="2142"/>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98"/>
      <c r="Q37" s="1151" t="str">
        <f t="shared" si="11"/>
        <v>成新度</v>
      </c>
      <c r="R37" s="1569" t="s">
        <v>11</v>
      </c>
      <c r="S37" s="1570">
        <f t="shared" si="12"/>
        <v>100</v>
      </c>
      <c r="T37" s="1569" t="s">
        <v>11</v>
      </c>
      <c r="U37" s="1570">
        <f t="shared" si="13"/>
        <v>100</v>
      </c>
      <c r="V37" s="1569" t="s">
        <v>11</v>
      </c>
      <c r="W37" s="1570">
        <f t="shared" si="14"/>
        <v>100</v>
      </c>
      <c r="X37" s="1571"/>
      <c r="Y37" s="3398"/>
      <c r="Z37" s="1150" t="str">
        <f t="shared" si="15"/>
        <v>成新度</v>
      </c>
      <c r="AA37" s="1572">
        <f t="shared" si="3"/>
        <v>1</v>
      </c>
      <c r="AB37" s="1572">
        <f t="shared" si="4"/>
        <v>1</v>
      </c>
      <c r="AC37" s="1572">
        <f t="shared" si="5"/>
        <v>1</v>
      </c>
    </row>
    <row r="38" spans="1:29" ht="15" hidden="1">
      <c r="A38" s="594"/>
      <c r="B38" s="527" t="s">
        <v>731</v>
      </c>
      <c r="C38" s="599" t="s">
        <v>3047</v>
      </c>
      <c r="D38" s="540">
        <v>100</v>
      </c>
      <c r="E38" s="874" t="s">
        <v>3047</v>
      </c>
      <c r="F38" s="575">
        <f>SUMIF(114:114,E38,115:115)-SUMIF(114:114,C38,115:115)+100</f>
        <v>100</v>
      </c>
      <c r="G38" s="599" t="s">
        <v>3047</v>
      </c>
      <c r="H38" s="540">
        <f>SUMIF(114:114,G38,115:115)-SUMIF(114:114,C38,115:115)+100</f>
        <v>100</v>
      </c>
      <c r="I38" s="874" t="s">
        <v>3047</v>
      </c>
      <c r="J38" s="540">
        <f>SUMIF(114:114,I38,115:115)-SUMIF(114:114,C38,115:115)+100</f>
        <v>100</v>
      </c>
      <c r="K38" s="864"/>
      <c r="L38" s="2143"/>
      <c r="M38" s="2135"/>
      <c r="N38" s="2135"/>
      <c r="O38" s="2142"/>
      <c r="P38" s="3398" t="s">
        <v>550</v>
      </c>
      <c r="Q38" s="1573" t="str">
        <f t="shared" si="11"/>
        <v>物业管理</v>
      </c>
      <c r="R38" s="1574" t="s">
        <v>11</v>
      </c>
      <c r="S38" s="1575">
        <f t="shared" si="12"/>
        <v>100</v>
      </c>
      <c r="T38" s="1574" t="s">
        <v>11</v>
      </c>
      <c r="U38" s="1575">
        <f t="shared" si="13"/>
        <v>100</v>
      </c>
      <c r="V38" s="1574" t="s">
        <v>11</v>
      </c>
      <c r="W38" s="1575">
        <f t="shared" si="14"/>
        <v>100</v>
      </c>
      <c r="X38" s="1568"/>
      <c r="Y38" s="3398" t="s">
        <v>550</v>
      </c>
      <c r="Z38" s="1576" t="str">
        <f t="shared" si="15"/>
        <v>物业管理</v>
      </c>
      <c r="AA38" s="1577">
        <f t="shared" si="3"/>
        <v>1</v>
      </c>
      <c r="AB38" s="1577">
        <f t="shared" si="4"/>
        <v>1</v>
      </c>
      <c r="AC38" s="1577">
        <f t="shared" si="5"/>
        <v>1</v>
      </c>
    </row>
    <row r="39" spans="1:29" ht="15">
      <c r="A39" s="594"/>
      <c r="B39" s="1896" t="s">
        <v>2564</v>
      </c>
      <c r="C39" s="599" t="s">
        <v>3077</v>
      </c>
      <c r="D39" s="540">
        <v>100</v>
      </c>
      <c r="E39" s="599" t="s">
        <v>3077</v>
      </c>
      <c r="F39" s="575">
        <f>SUMIF(116:116,E39,117:117)-SUMIF(116:116,C39,117:117)+100</f>
        <v>100</v>
      </c>
      <c r="G39" s="599" t="s">
        <v>3077</v>
      </c>
      <c r="H39" s="540">
        <f>SUMIF(116:116,G39,117:117)-SUMIF(116:116,C39,117:117)+100</f>
        <v>100</v>
      </c>
      <c r="I39" s="599" t="s">
        <v>3077</v>
      </c>
      <c r="J39" s="540">
        <f>SUMIF(116:116,I39,117:117)-SUMIF(116:116,C39,117:117)+100</f>
        <v>100</v>
      </c>
      <c r="K39" s="864">
        <v>2</v>
      </c>
      <c r="L39" s="2143"/>
      <c r="M39" s="2135"/>
      <c r="N39" s="2135"/>
      <c r="O39" s="2142"/>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732</v>
      </c>
      <c r="C40" s="599" t="s">
        <v>3050</v>
      </c>
      <c r="D40" s="540">
        <v>100</v>
      </c>
      <c r="E40" s="599" t="s">
        <v>3050</v>
      </c>
      <c r="F40" s="575">
        <f>SUMIF(118:118,E40,119:119)-SUMIF(118:118,C40,119:119)+100</f>
        <v>100</v>
      </c>
      <c r="G40" s="599" t="s">
        <v>3050</v>
      </c>
      <c r="H40" s="540">
        <f>SUMIF(118:118,G40,119:119)-SUMIF(118:118,C40,119:119)+100</f>
        <v>100</v>
      </c>
      <c r="I40" s="599" t="s">
        <v>3050</v>
      </c>
      <c r="J40" s="540">
        <f>SUMIF(118:118,I40,119:119)-SUMIF(118:118,C40,119:119)+100</f>
        <v>100</v>
      </c>
      <c r="K40" s="864">
        <v>10</v>
      </c>
      <c r="L40" s="2143"/>
      <c r="M40" s="2135"/>
      <c r="N40" s="2135"/>
      <c r="O40" s="2142"/>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734</v>
      </c>
      <c r="C42" s="3195" t="s">
        <v>3079</v>
      </c>
      <c r="D42" s="540">
        <v>100</v>
      </c>
      <c r="E42" s="3195" t="s">
        <v>3079</v>
      </c>
      <c r="F42" s="575">
        <f>SUMIF(122:122,E42,123:123)-SUMIF(122:122,C42,123:123)+100</f>
        <v>100</v>
      </c>
      <c r="G42" s="3195" t="s">
        <v>3049</v>
      </c>
      <c r="H42" s="540">
        <f>SUMIF(122:122,G42,123:123)-SUMIF(122:122,C42,123:123)+100</f>
        <v>91</v>
      </c>
      <c r="I42" s="3195" t="s">
        <v>3079</v>
      </c>
      <c r="J42" s="540">
        <f>SUMIF(122:122,I42,123:123)-SUMIF(122:122,C42,123:123)+100</f>
        <v>100</v>
      </c>
      <c r="K42" s="3210">
        <v>3</v>
      </c>
      <c r="L42" s="2143"/>
      <c r="M42" s="2135"/>
      <c r="N42" s="2135"/>
      <c r="O42" s="2142"/>
      <c r="P42" s="3398"/>
      <c r="Q42" s="1573" t="str">
        <f t="shared" si="11"/>
        <v>内部装修</v>
      </c>
      <c r="R42" s="1574" t="s">
        <v>11</v>
      </c>
      <c r="S42" s="1575">
        <f t="shared" si="12"/>
        <v>100</v>
      </c>
      <c r="T42" s="1574" t="s">
        <v>11</v>
      </c>
      <c r="U42" s="1575">
        <f t="shared" si="13"/>
        <v>91</v>
      </c>
      <c r="V42" s="1574" t="s">
        <v>11</v>
      </c>
      <c r="W42" s="1575">
        <f t="shared" si="14"/>
        <v>100</v>
      </c>
      <c r="X42" s="1568"/>
      <c r="Y42" s="3398"/>
      <c r="Z42" s="1576" t="str">
        <f t="shared" si="15"/>
        <v>内部装修</v>
      </c>
      <c r="AA42" s="1577">
        <f t="shared" si="3"/>
        <v>1</v>
      </c>
      <c r="AB42" s="1577">
        <f t="shared" si="4"/>
        <v>1.098901098901099</v>
      </c>
      <c r="AC42" s="1577">
        <f t="shared" si="5"/>
        <v>1</v>
      </c>
    </row>
    <row r="43" spans="1:29" ht="27.75" thickBot="1">
      <c r="A43" s="594"/>
      <c r="B43" s="527" t="s">
        <v>735</v>
      </c>
      <c r="C43" s="599" t="s">
        <v>3027</v>
      </c>
      <c r="D43" s="540">
        <v>100</v>
      </c>
      <c r="E43" s="599" t="s">
        <v>3027</v>
      </c>
      <c r="F43" s="575">
        <f>SUMIF(124:124,E43,125:125)-SUMIF(124:124,C43,125:125)+100</f>
        <v>100</v>
      </c>
      <c r="G43" s="599" t="s">
        <v>3027</v>
      </c>
      <c r="H43" s="540">
        <f>SUMIF(124:124,G43,125:125)-SUMIF(124:124,C43,125:125)+100</f>
        <v>100</v>
      </c>
      <c r="I43" s="599" t="s">
        <v>3027</v>
      </c>
      <c r="J43" s="540">
        <f>SUMIF(124:124,I43,125:125)-SUMIF(124:124,C43,125:125)+100</f>
        <v>100</v>
      </c>
      <c r="K43" s="864">
        <v>2</v>
      </c>
      <c r="L43" s="2143"/>
      <c r="M43" s="2135"/>
      <c r="N43" s="2135"/>
      <c r="O43" s="2142"/>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8"/>
      <c r="Q44" s="1151">
        <f t="shared" si="11"/>
        <v>111</v>
      </c>
      <c r="R44" s="1569" t="s">
        <v>11</v>
      </c>
      <c r="S44" s="1570">
        <f t="shared" si="12"/>
        <v>100</v>
      </c>
      <c r="T44" s="1569" t="s">
        <v>11</v>
      </c>
      <c r="U44" s="1570">
        <f t="shared" si="13"/>
        <v>100</v>
      </c>
      <c r="V44" s="1569" t="s">
        <v>11</v>
      </c>
      <c r="W44" s="1570">
        <f t="shared" si="14"/>
        <v>100</v>
      </c>
      <c r="X44" s="1571"/>
      <c r="Y44" s="3398"/>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5"/>
      <c r="Q46" s="1573">
        <f t="shared" si="11"/>
        <v>111</v>
      </c>
      <c r="R46" s="1574" t="s">
        <v>10</v>
      </c>
      <c r="S46" s="1575">
        <f t="shared" si="12"/>
        <v>100</v>
      </c>
      <c r="T46" s="1574" t="s">
        <v>10</v>
      </c>
      <c r="U46" s="1575">
        <f t="shared" si="13"/>
        <v>100</v>
      </c>
      <c r="V46" s="1574" t="s">
        <v>10</v>
      </c>
      <c r="W46" s="1575">
        <f t="shared" si="14"/>
        <v>100</v>
      </c>
      <c r="X46" s="1568"/>
      <c r="Y46" s="3425"/>
      <c r="Z46" s="1576">
        <f t="shared" si="15"/>
        <v>111</v>
      </c>
      <c r="AA46" s="1577">
        <f t="shared" si="3"/>
        <v>1</v>
      </c>
      <c r="AB46" s="1577">
        <f t="shared" si="4"/>
        <v>1</v>
      </c>
      <c r="AC46" s="1577">
        <f t="shared" si="5"/>
        <v>1</v>
      </c>
    </row>
    <row r="47" spans="1:29" ht="15">
      <c r="A47" s="607" t="s">
        <v>736</v>
      </c>
      <c r="B47" s="887"/>
      <c r="C47" s="2607" t="s">
        <v>9</v>
      </c>
      <c r="D47" s="2608"/>
      <c r="E47" s="2609">
        <v>12000</v>
      </c>
      <c r="F47" s="2610"/>
      <c r="G47" s="3196">
        <v>12000</v>
      </c>
      <c r="H47" s="2612"/>
      <c r="I47" s="2609">
        <v>12000</v>
      </c>
      <c r="J47" s="2612"/>
      <c r="K47" s="1607"/>
      <c r="L47" s="2145"/>
      <c r="M47" s="2146"/>
      <c r="N47" s="2135"/>
      <c r="O47" s="2146"/>
      <c r="P47" s="3393" t="str">
        <f>A47</f>
        <v>成交单价（元/平方米）</v>
      </c>
      <c r="Q47" s="3393"/>
      <c r="R47" s="3426">
        <f>E47</f>
        <v>12000</v>
      </c>
      <c r="S47" s="3426"/>
      <c r="T47" s="3426">
        <f>G47</f>
        <v>12000</v>
      </c>
      <c r="U47" s="3426"/>
      <c r="V47" s="3426">
        <f>I47</f>
        <v>12000</v>
      </c>
      <c r="W47" s="3426"/>
      <c r="X47" s="1560"/>
      <c r="Y47" s="1582"/>
      <c r="Z47" s="1560"/>
      <c r="AA47" s="1560"/>
      <c r="AB47" s="1560"/>
      <c r="AC47" s="1560"/>
    </row>
    <row r="48" spans="1:29" ht="15.75" thickBot="1">
      <c r="A48" s="615" t="s">
        <v>2760</v>
      </c>
      <c r="B48" s="888"/>
      <c r="C48" s="2613">
        <f>R49</f>
        <v>12331</v>
      </c>
      <c r="D48" s="2614"/>
      <c r="E48" s="2615">
        <f>R48</f>
        <v>12000</v>
      </c>
      <c r="F48" s="2615"/>
      <c r="G48" s="2613">
        <f>T48</f>
        <v>13456</v>
      </c>
      <c r="H48" s="2614"/>
      <c r="I48" s="2615">
        <f>V48</f>
        <v>11538</v>
      </c>
      <c r="J48" s="2614"/>
      <c r="K48" s="1608"/>
      <c r="L48" s="2145"/>
      <c r="M48" s="2146"/>
      <c r="N48" s="2146"/>
      <c r="O48" s="2146"/>
      <c r="P48" s="3393" t="str">
        <f>A48</f>
        <v>比较价格（元/平方米）</v>
      </c>
      <c r="Q48" s="3393"/>
      <c r="R48" s="3426">
        <f>IF(F1="售价",ROUND(PRODUCT(R47,AA7:AA46),0),ROUND(PRODUCT(R47,AA7:AA46),1))</f>
        <v>12000</v>
      </c>
      <c r="S48" s="3426"/>
      <c r="T48" s="3426">
        <f>IF(F1="售价",ROUND(PRODUCT(T47,AB7:AB46),0),ROUND(PRODUCT(T47,AB7:AB46),1))</f>
        <v>13456</v>
      </c>
      <c r="U48" s="3426"/>
      <c r="V48" s="3426">
        <f>IF(F1="售价",ROUND(PRODUCT(V47,AC7:AC46),0),ROUND(PRODUCT(V47,AC7:AC46),1))</f>
        <v>11538</v>
      </c>
      <c r="W48" s="3426"/>
      <c r="X48" s="1560"/>
      <c r="Y48" s="1560"/>
      <c r="Z48" s="1560"/>
      <c r="AA48" s="1560"/>
      <c r="AB48" s="1560"/>
      <c r="AC48" s="1560"/>
    </row>
    <row r="49" spans="1:29" ht="15.75" thickBot="1">
      <c r="A49" s="621" t="s">
        <v>2935</v>
      </c>
      <c r="B49" s="622"/>
      <c r="C49" s="2616">
        <f>R49</f>
        <v>12331</v>
      </c>
      <c r="D49" s="2616"/>
      <c r="E49" s="2616"/>
      <c r="F49" s="2616"/>
      <c r="G49" s="2616"/>
      <c r="H49" s="2616"/>
      <c r="I49" s="2616"/>
      <c r="J49" s="2616"/>
      <c r="K49" s="1609"/>
      <c r="L49" s="2145"/>
      <c r="M49" s="2146"/>
      <c r="N49" s="2146"/>
      <c r="O49" s="2146"/>
      <c r="P49" s="3414" t="str">
        <f>A49</f>
        <v>估价对象XX用房的比较价格（楼面单价，元/平方米）</v>
      </c>
      <c r="Q49" s="3415"/>
      <c r="R49" s="3427">
        <f>IF(F1="售价",ROUND(AVERAGE(R48:V48),0),ROUND(AVERAGE(R48:V48),1))</f>
        <v>12331</v>
      </c>
      <c r="S49" s="3427"/>
      <c r="T49" s="3427"/>
      <c r="U49" s="3427"/>
      <c r="V49" s="3427"/>
      <c r="W49" s="342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v>
      </c>
      <c r="F52" s="627" t="str">
        <f>IF(OR(E52&gt;=0.3,E52&lt;=-0.3),"超过30%","")</f>
        <v/>
      </c>
      <c r="G52" s="626">
        <f>IF(G47&lt;G48,G48/G47-1,G47/G48-1)</f>
        <v>0.12133333333333329</v>
      </c>
      <c r="H52" s="627" t="str">
        <f>IF(OR(G52&gt;=0.3,G52&lt;=-0.3),"超过30%","")</f>
        <v/>
      </c>
      <c r="I52" s="626">
        <f>IF(I47&lt;I48,I48/I47-1,I47/I48-1)</f>
        <v>4.0041601664066562E-2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0.12133333333333329</v>
      </c>
      <c r="F53" s="627" t="str">
        <f>IF(OR(E53&gt;=0.2,E53&lt;=-0.2),"超过20%","")</f>
        <v/>
      </c>
      <c r="G53" s="626">
        <f>IF(G48&lt;I48,I48/G48-1,G48/I48-1)</f>
        <v>0.16623331599930657</v>
      </c>
      <c r="H53" s="627" t="str">
        <f>IF(OR(G53&gt;=0.2,G53&lt;=-0.2),"超过20%","")</f>
        <v/>
      </c>
      <c r="I53" s="626">
        <f>IF(I48&lt;E48,E48/I48-1,I48/E48-1)</f>
        <v>4.0041601664066562E-2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C68+2</f>
        <v>2</v>
      </c>
      <c r="E68" s="541">
        <f t="shared" ref="E68:J68" si="19">D68+2</f>
        <v>4</v>
      </c>
      <c r="F68" s="541">
        <f t="shared" si="19"/>
        <v>6</v>
      </c>
      <c r="G68" s="541">
        <f t="shared" si="19"/>
        <v>8</v>
      </c>
      <c r="H68" s="541">
        <f t="shared" si="19"/>
        <v>10</v>
      </c>
      <c r="I68" s="541">
        <f t="shared" si="19"/>
        <v>12</v>
      </c>
      <c r="J68" s="541">
        <f t="shared" si="19"/>
        <v>14</v>
      </c>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92" t="s">
        <v>3084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4">D103&amp;"(含)"&amp;"-"&amp;E103</f>
        <v>500000(含)-1000000</v>
      </c>
      <c r="E102" s="708" t="str">
        <f t="shared" si="24"/>
        <v>1000000(含)-1500000</v>
      </c>
      <c r="F102" s="708" t="str">
        <f t="shared" si="24"/>
        <v>1500000(含)-2000000</v>
      </c>
      <c r="G102" s="708" t="str">
        <f t="shared" si="24"/>
        <v>2000000(含)-2500000</v>
      </c>
      <c r="H102" s="708" t="str">
        <f t="shared" si="24"/>
        <v>2500000(含)-3000000</v>
      </c>
      <c r="I102" s="708" t="str">
        <f t="shared" si="24"/>
        <v>3000000(含)-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f>C103+500000</f>
        <v>500000</v>
      </c>
      <c r="E103" s="730">
        <f t="shared" ref="E103:I103" si="25">D103+500000</f>
        <v>1000000</v>
      </c>
      <c r="F103" s="730">
        <f t="shared" si="25"/>
        <v>1500000</v>
      </c>
      <c r="G103" s="730">
        <f t="shared" si="25"/>
        <v>2000000</v>
      </c>
      <c r="H103" s="730">
        <f t="shared" si="25"/>
        <v>2500000</v>
      </c>
      <c r="I103" s="730">
        <f t="shared" si="25"/>
        <v>3000000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3078</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3051</v>
      </c>
      <c r="D118" s="3193" t="s">
        <v>3052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31">C119-$K40</f>
        <v>90</v>
      </c>
      <c r="E119" s="679">
        <f t="shared" si="31"/>
        <v>80</v>
      </c>
      <c r="F119" s="679">
        <f t="shared" si="31"/>
        <v>70</v>
      </c>
      <c r="G119" s="679">
        <f t="shared" si="31"/>
        <v>60</v>
      </c>
      <c r="H119" s="679">
        <f t="shared" si="31"/>
        <v>50</v>
      </c>
      <c r="I119" s="679">
        <f t="shared" si="31"/>
        <v>40</v>
      </c>
      <c r="J119" s="679">
        <f t="shared" si="31"/>
        <v>30</v>
      </c>
      <c r="K119" s="679">
        <f t="shared" si="31"/>
        <v>20</v>
      </c>
      <c r="L119" s="679">
        <f t="shared" si="31"/>
        <v>10</v>
      </c>
      <c r="M119" s="679">
        <f t="shared" si="31"/>
        <v>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3080</v>
      </c>
      <c r="D122" s="3194" t="s">
        <v>3081</v>
      </c>
      <c r="E122" s="3194" t="s">
        <v>3082</v>
      </c>
      <c r="F122" s="3193" t="s">
        <v>3083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9" t="s">
        <v>522</v>
      </c>
      <c r="D6" s="3400"/>
      <c r="E6" s="3418" t="s">
        <v>523</v>
      </c>
      <c r="F6" s="3419"/>
      <c r="G6" s="3399" t="s">
        <v>524</v>
      </c>
      <c r="H6" s="3400"/>
      <c r="I6" s="3399" t="s">
        <v>525</v>
      </c>
      <c r="J6" s="3400"/>
      <c r="K6" s="514" t="s">
        <v>526</v>
      </c>
      <c r="L6" s="2134"/>
      <c r="M6" s="2135"/>
      <c r="N6" s="2135"/>
      <c r="O6" s="2135"/>
      <c r="P6" s="3401" t="s">
        <v>527</v>
      </c>
      <c r="Q6" s="3402"/>
      <c r="R6" s="3387" t="s">
        <v>523</v>
      </c>
      <c r="S6" s="3388"/>
      <c r="T6" s="3387" t="s">
        <v>524</v>
      </c>
      <c r="U6" s="3388"/>
      <c r="V6" s="3407" t="s">
        <v>525</v>
      </c>
      <c r="W6" s="3407"/>
      <c r="X6" s="1568"/>
      <c r="Y6" s="3387" t="s">
        <v>527</v>
      </c>
      <c r="Z6" s="3388"/>
      <c r="AA6" s="3382" t="s">
        <v>523</v>
      </c>
      <c r="AB6" s="3383" t="s">
        <v>524</v>
      </c>
      <c r="AC6" s="3382" t="s">
        <v>525</v>
      </c>
    </row>
    <row r="7" spans="1:29" ht="15">
      <c r="A7" s="515"/>
      <c r="B7" s="516"/>
      <c r="C7" s="3410" t="s">
        <v>2929</v>
      </c>
      <c r="D7" s="3411"/>
      <c r="E7" s="3433" t="s">
        <v>2930</v>
      </c>
      <c r="F7" s="3421"/>
      <c r="G7" s="3410" t="s">
        <v>2931</v>
      </c>
      <c r="H7" s="3411"/>
      <c r="I7" s="3410" t="s">
        <v>2932</v>
      </c>
      <c r="J7" s="3411"/>
      <c r="K7" s="514"/>
      <c r="L7" s="2134"/>
      <c r="M7" s="2135"/>
      <c r="N7" s="2135"/>
      <c r="O7" s="2135"/>
      <c r="P7" s="3403"/>
      <c r="Q7" s="3404"/>
      <c r="R7" s="3389"/>
      <c r="S7" s="3390"/>
      <c r="T7" s="3389"/>
      <c r="U7" s="3390"/>
      <c r="V7" s="3407"/>
      <c r="W7" s="3407"/>
      <c r="X7" s="1568"/>
      <c r="Y7" s="3389"/>
      <c r="Z7" s="3390"/>
      <c r="AA7" s="3383"/>
      <c r="AB7" s="3383"/>
      <c r="AC7" s="3383"/>
    </row>
    <row r="8" spans="1:29" ht="15.75" thickBot="1">
      <c r="A8" s="517"/>
      <c r="B8" s="518"/>
      <c r="C8" s="3408" t="s">
        <v>2933</v>
      </c>
      <c r="D8" s="3409"/>
      <c r="E8" s="3423" t="s">
        <v>2933</v>
      </c>
      <c r="F8" s="3424"/>
      <c r="G8" s="3408" t="s">
        <v>2933</v>
      </c>
      <c r="H8" s="3409"/>
      <c r="I8" s="3408" t="s">
        <v>2933</v>
      </c>
      <c r="J8" s="3409"/>
      <c r="K8" s="514" t="s">
        <v>528</v>
      </c>
      <c r="L8" s="2134"/>
      <c r="M8" s="2135"/>
      <c r="N8" s="2135"/>
      <c r="O8" s="2135"/>
      <c r="P8" s="3405"/>
      <c r="Q8" s="3406"/>
      <c r="R8" s="3389"/>
      <c r="S8" s="3390"/>
      <c r="T8" s="3391"/>
      <c r="U8" s="3392"/>
      <c r="V8" s="3407"/>
      <c r="W8" s="3407"/>
      <c r="X8" s="1568"/>
      <c r="Y8" s="3391"/>
      <c r="Z8" s="3392"/>
      <c r="AA8" s="3384"/>
      <c r="AB8" s="3384"/>
      <c r="AC8" s="3384"/>
    </row>
    <row r="9" spans="1:29" s="1220" customFormat="1" ht="15.75" thickBot="1">
      <c r="A9" s="2891"/>
      <c r="B9" s="2898" t="s">
        <v>529</v>
      </c>
      <c r="C9" s="519">
        <f>'数据-取费表'!B2</f>
        <v>43564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5" t="s">
        <v>530</v>
      </c>
      <c r="Q9" s="3394"/>
      <c r="R9" s="1569" t="s">
        <v>8</v>
      </c>
      <c r="S9" s="1570">
        <f t="shared" ref="S9:S17" si="0">F9</f>
        <v>0</v>
      </c>
      <c r="T9" s="1569" t="s">
        <v>8</v>
      </c>
      <c r="U9" s="1570">
        <f t="shared" ref="U9:U17" si="1">H9</f>
        <v>0</v>
      </c>
      <c r="V9" s="1569" t="s">
        <v>8</v>
      </c>
      <c r="W9" s="1570">
        <f t="shared" ref="W9:W17" si="2">J9</f>
        <v>0</v>
      </c>
      <c r="X9" s="1571"/>
      <c r="Y9" s="3385" t="s">
        <v>530</v>
      </c>
      <c r="Z9" s="3386"/>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5" t="s">
        <v>533</v>
      </c>
      <c r="Q10" s="3386"/>
      <c r="R10" s="1569" t="s">
        <v>8</v>
      </c>
      <c r="S10" s="1570">
        <f t="shared" si="0"/>
        <v>0</v>
      </c>
      <c r="T10" s="1569" t="s">
        <v>8</v>
      </c>
      <c r="U10" s="1570">
        <f t="shared" si="1"/>
        <v>0</v>
      </c>
      <c r="V10" s="1569" t="s">
        <v>8</v>
      </c>
      <c r="W10" s="1570">
        <f t="shared" si="2"/>
        <v>0</v>
      </c>
      <c r="X10" s="1571"/>
      <c r="Y10" s="3385" t="s">
        <v>533</v>
      </c>
      <c r="Z10" s="3386"/>
      <c r="AA10" s="1572" t="e">
        <f t="shared" ref="AA10:AA42" si="3">D10/F10</f>
        <v>#DIV/0!</v>
      </c>
      <c r="AB10" s="1572" t="e">
        <f t="shared" ref="AB10:AB42" si="4">D10/H10</f>
        <v>#DIV/0!</v>
      </c>
      <c r="AC10" s="1572" t="e">
        <f t="shared" ref="AC10:AC42" si="5">D10/J10</f>
        <v>#DIV/0!</v>
      </c>
    </row>
    <row r="11" spans="1:29" s="1220" customFormat="1" ht="15">
      <c r="A11" s="2893"/>
      <c r="B11" s="2900"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3" t="s">
        <v>535</v>
      </c>
      <c r="Q11" s="1151" t="str">
        <f t="shared" ref="Q11:Q17" si="6">B11</f>
        <v>用途</v>
      </c>
      <c r="R11" s="1569" t="s">
        <v>8</v>
      </c>
      <c r="S11" s="1570">
        <f t="shared" si="0"/>
        <v>100</v>
      </c>
      <c r="T11" s="1569" t="s">
        <v>8</v>
      </c>
      <c r="U11" s="1570">
        <f t="shared" si="1"/>
        <v>100</v>
      </c>
      <c r="V11" s="1569" t="s">
        <v>8</v>
      </c>
      <c r="W11" s="1570">
        <f t="shared" si="2"/>
        <v>100</v>
      </c>
      <c r="X11" s="1571"/>
      <c r="Y11" s="3350" t="s">
        <v>536</v>
      </c>
      <c r="Z11" s="1150" t="str">
        <f t="shared" ref="Z11:Z17" si="7">Q11</f>
        <v>用途</v>
      </c>
      <c r="AA11" s="1572">
        <f t="shared" si="3"/>
        <v>1</v>
      </c>
      <c r="AB11" s="1572">
        <f t="shared" si="4"/>
        <v>1</v>
      </c>
      <c r="AC11" s="1572">
        <f t="shared" si="5"/>
        <v>1</v>
      </c>
    </row>
    <row r="12" spans="1:29" s="1338" customFormat="1" ht="27">
      <c r="A12" s="2894"/>
      <c r="B12" s="2899" t="s">
        <v>2757</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93"/>
      <c r="Q12" s="1151" t="str">
        <f t="shared" si="6"/>
        <v>土地使用年限（年）</v>
      </c>
      <c r="R12" s="1569" t="s">
        <v>8</v>
      </c>
      <c r="S12" s="1570">
        <f t="shared" si="0"/>
        <v>108</v>
      </c>
      <c r="T12" s="1569" t="s">
        <v>8</v>
      </c>
      <c r="U12" s="1570">
        <f t="shared" si="1"/>
        <v>108</v>
      </c>
      <c r="V12" s="1569" t="s">
        <v>8</v>
      </c>
      <c r="W12" s="1570">
        <f t="shared" si="2"/>
        <v>108</v>
      </c>
      <c r="X12" s="1571"/>
      <c r="Y12" s="3350"/>
      <c r="Z12" s="1150" t="str">
        <f t="shared" si="7"/>
        <v>土地使用年限（年）</v>
      </c>
      <c r="AA12" s="1572">
        <f t="shared" si="3"/>
        <v>0.92592592592592593</v>
      </c>
      <c r="AB12" s="1572">
        <f t="shared" si="4"/>
        <v>0.92592592592592593</v>
      </c>
      <c r="AC12" s="1572">
        <f t="shared" si="5"/>
        <v>0.92592592592592593</v>
      </c>
    </row>
    <row r="13" spans="1:29" ht="15">
      <c r="A13" s="2895"/>
      <c r="B13" s="289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3"/>
      <c r="Q13" s="1151" t="str">
        <f t="shared" si="6"/>
        <v>容积率</v>
      </c>
      <c r="R13" s="1569" t="s">
        <v>8</v>
      </c>
      <c r="S13" s="1570" t="e">
        <f t="shared" si="0"/>
        <v>#N/A</v>
      </c>
      <c r="T13" s="1569" t="s">
        <v>8</v>
      </c>
      <c r="U13" s="1570" t="e">
        <f t="shared" si="1"/>
        <v>#N/A</v>
      </c>
      <c r="V13" s="1569" t="s">
        <v>8</v>
      </c>
      <c r="W13" s="1570" t="e">
        <f t="shared" si="2"/>
        <v>#N/A</v>
      </c>
      <c r="X13" s="1571"/>
      <c r="Y13" s="3350"/>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3"/>
      <c r="Q15" s="1151">
        <f t="shared" si="6"/>
        <v>111</v>
      </c>
      <c r="R15" s="1569" t="s">
        <v>8</v>
      </c>
      <c r="S15" s="1570">
        <f t="shared" si="0"/>
        <v>100</v>
      </c>
      <c r="T15" s="1569" t="s">
        <v>8</v>
      </c>
      <c r="U15" s="1570">
        <f t="shared" si="1"/>
        <v>100</v>
      </c>
      <c r="V15" s="1569" t="s">
        <v>8</v>
      </c>
      <c r="W15" s="1570">
        <f t="shared" si="2"/>
        <v>100</v>
      </c>
      <c r="X15" s="1571"/>
      <c r="Y15" s="3350"/>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3"/>
      <c r="Q16" s="1151">
        <f t="shared" si="6"/>
        <v>111</v>
      </c>
      <c r="R16" s="1569" t="s">
        <v>8</v>
      </c>
      <c r="S16" s="1570">
        <f t="shared" si="0"/>
        <v>100</v>
      </c>
      <c r="T16" s="1569" t="s">
        <v>8</v>
      </c>
      <c r="U16" s="1570">
        <f t="shared" si="1"/>
        <v>100</v>
      </c>
      <c r="V16" s="1569" t="s">
        <v>8</v>
      </c>
      <c r="W16" s="1570">
        <f t="shared" si="2"/>
        <v>100</v>
      </c>
      <c r="X16" s="1571"/>
      <c r="Y16" s="3350"/>
      <c r="Z16" s="1150">
        <f t="shared" si="7"/>
        <v>111</v>
      </c>
      <c r="AA16" s="1572">
        <f t="shared" si="3"/>
        <v>1</v>
      </c>
      <c r="AB16" s="1572">
        <f t="shared" si="4"/>
        <v>1</v>
      </c>
      <c r="AC16" s="1572">
        <f t="shared" si="5"/>
        <v>1</v>
      </c>
    </row>
    <row r="17" spans="1:29" ht="57">
      <c r="A17" s="2889"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5" t="s">
        <v>540</v>
      </c>
      <c r="Q17" s="1573" t="str">
        <f t="shared" si="6"/>
        <v>产业集聚程度</v>
      </c>
      <c r="R17" s="1574" t="s">
        <v>8</v>
      </c>
      <c r="S17" s="1575">
        <f t="shared" si="0"/>
        <v>100</v>
      </c>
      <c r="T17" s="1574" t="s">
        <v>8</v>
      </c>
      <c r="U17" s="1575">
        <f t="shared" si="1"/>
        <v>100</v>
      </c>
      <c r="V17" s="1574" t="s">
        <v>8</v>
      </c>
      <c r="W17" s="1575">
        <f t="shared" si="2"/>
        <v>100</v>
      </c>
      <c r="X17" s="1568"/>
      <c r="Y17" s="339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6"/>
      <c r="Q18" s="1573"/>
      <c r="R18" s="1574"/>
      <c r="S18" s="1575"/>
      <c r="T18" s="1574"/>
      <c r="U18" s="1575"/>
      <c r="V18" s="1574"/>
      <c r="W18" s="1575"/>
      <c r="X18" s="1568"/>
      <c r="Y18" s="339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6"/>
      <c r="Q22" s="1573"/>
      <c r="R22" s="1574"/>
      <c r="S22" s="1575"/>
      <c r="T22" s="1574"/>
      <c r="U22" s="1575"/>
      <c r="V22" s="1574"/>
      <c r="W22" s="1575"/>
      <c r="X22" s="1568"/>
      <c r="Y22" s="339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6"/>
      <c r="Q24" s="1573"/>
      <c r="R24" s="1574"/>
      <c r="S24" s="1575"/>
      <c r="T24" s="1574"/>
      <c r="U24" s="1575"/>
      <c r="V24" s="1574"/>
      <c r="W24" s="1575"/>
      <c r="X24" s="1568"/>
      <c r="Y24" s="3396"/>
      <c r="Z24" s="1576"/>
      <c r="AA24" s="1577">
        <v>1</v>
      </c>
      <c r="AB24" s="1577">
        <v>1</v>
      </c>
      <c r="AC24" s="1577">
        <v>1</v>
      </c>
    </row>
    <row r="25" spans="1:29" s="1220" customFormat="1" ht="42.75">
      <c r="A25" s="577"/>
      <c r="B25" s="257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96"/>
      <c r="Q26" s="1151"/>
      <c r="R26" s="1569"/>
      <c r="S26" s="1570"/>
      <c r="T26" s="1569"/>
      <c r="U26" s="1570"/>
      <c r="V26" s="1569"/>
      <c r="W26" s="1570"/>
      <c r="X26" s="1571"/>
      <c r="Y26" s="3396"/>
      <c r="Z26" s="1150"/>
      <c r="AA26" s="1572">
        <v>1</v>
      </c>
      <c r="AB26" s="1572">
        <v>1</v>
      </c>
      <c r="AC26" s="1572">
        <v>1</v>
      </c>
    </row>
    <row r="27" spans="1:29" s="1220" customFormat="1" ht="28.5">
      <c r="A27" s="577"/>
      <c r="B27" s="257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6"/>
      <c r="Q27" s="2558" t="str">
        <f t="shared" ref="Q27" si="9">B27</f>
        <v>基础设施水平</v>
      </c>
      <c r="R27" s="1569" t="s">
        <v>8</v>
      </c>
      <c r="S27" s="1570">
        <f>F27</f>
        <v>100</v>
      </c>
      <c r="T27" s="1569" t="s">
        <v>8</v>
      </c>
      <c r="U27" s="1570">
        <f>H27</f>
        <v>100</v>
      </c>
      <c r="V27" s="1569" t="s">
        <v>8</v>
      </c>
      <c r="W27" s="1570">
        <f>J27</f>
        <v>100</v>
      </c>
      <c r="X27" s="1571"/>
      <c r="Y27" s="339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96"/>
      <c r="Q28" s="2558"/>
      <c r="R28" s="1569"/>
      <c r="S28" s="1570"/>
      <c r="T28" s="1569"/>
      <c r="U28" s="1570"/>
      <c r="V28" s="1569"/>
      <c r="W28" s="1570"/>
      <c r="X28" s="1571"/>
      <c r="Y28" s="339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6"/>
      <c r="Q31" s="1573"/>
      <c r="R31" s="1574"/>
      <c r="S31" s="1575"/>
      <c r="T31" s="1574"/>
      <c r="U31" s="1575"/>
      <c r="V31" s="1574"/>
      <c r="W31" s="1575"/>
      <c r="X31" s="1568"/>
      <c r="Y31" s="339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7" t="s">
        <v>550</v>
      </c>
      <c r="Q34" s="1573">
        <f t="shared" si="8"/>
        <v>111</v>
      </c>
      <c r="R34" s="1574" t="s">
        <v>8</v>
      </c>
      <c r="S34" s="1575">
        <f t="shared" si="10"/>
        <v>100</v>
      </c>
      <c r="T34" s="1574" t="s">
        <v>8</v>
      </c>
      <c r="U34" s="1575">
        <f t="shared" si="11"/>
        <v>100</v>
      </c>
      <c r="V34" s="1574" t="s">
        <v>8</v>
      </c>
      <c r="W34" s="1575">
        <f t="shared" si="12"/>
        <v>100</v>
      </c>
      <c r="X34" s="1568"/>
      <c r="Y34" s="339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8" t="s">
        <v>601</v>
      </c>
      <c r="Q39" s="1573" t="str">
        <f t="shared" si="14"/>
        <v>工程地质条件</v>
      </c>
      <c r="R39" s="1574" t="s">
        <v>8</v>
      </c>
      <c r="S39" s="1575">
        <f t="shared" si="10"/>
        <v>100</v>
      </c>
      <c r="T39" s="1574" t="s">
        <v>8</v>
      </c>
      <c r="U39" s="1575">
        <f t="shared" si="11"/>
        <v>100</v>
      </c>
      <c r="V39" s="1574" t="s">
        <v>8</v>
      </c>
      <c r="W39" s="1575">
        <f t="shared" si="12"/>
        <v>100</v>
      </c>
      <c r="X39" s="1568"/>
      <c r="Y39" s="339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5"/>
      <c r="M43" s="2135"/>
      <c r="N43" s="2135"/>
      <c r="O43" s="2146"/>
      <c r="P43" s="3393" t="str">
        <f>A43</f>
        <v>成交单价</v>
      </c>
      <c r="Q43" s="3393"/>
      <c r="R43" s="3407">
        <f>E43</f>
        <v>0</v>
      </c>
      <c r="S43" s="3407"/>
      <c r="T43" s="3407">
        <f>G43</f>
        <v>0</v>
      </c>
      <c r="U43" s="3407"/>
      <c r="V43" s="3407">
        <f>I43</f>
        <v>0</v>
      </c>
      <c r="W43" s="3407"/>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93" t="str">
        <f>A44</f>
        <v>比较价格（元/平方米）</v>
      </c>
      <c r="Q44" s="3393"/>
      <c r="R44" s="3417" t="e">
        <f>ROUND(PRODUCT(R43,AA9:AA42),0)</f>
        <v>#DIV/0!</v>
      </c>
      <c r="S44" s="3417"/>
      <c r="T44" s="3417" t="e">
        <f>ROUND(PRODUCT(T43,AB9:AB42),0)</f>
        <v>#DIV/0!</v>
      </c>
      <c r="U44" s="3417"/>
      <c r="V44" s="3417" t="e">
        <f>ROUND(PRODUCT(V43,AC9:AC42),0)</f>
        <v>#DIV/0!</v>
      </c>
      <c r="W44" s="3417"/>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414" t="str">
        <f>A45</f>
        <v>估价对象XX用房的比较价格（楼面单价，元/平方米）</v>
      </c>
      <c r="Q45" s="3415"/>
      <c r="R45" s="3416" t="e">
        <f>ROUND(AVERAGE(R44:V44),0)</f>
        <v>#DIV/0!</v>
      </c>
      <c r="S45" s="3416"/>
      <c r="T45" s="3416"/>
      <c r="U45" s="3416"/>
      <c r="V45" s="3416"/>
      <c r="W45" s="341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8" t="s">
        <v>2285</v>
      </c>
      <c r="H52" s="3429"/>
      <c r="I52" s="1953" t="s">
        <v>1946</v>
      </c>
      <c r="J52" s="1556" t="str">
        <f>项目基本情况!F41</f>
        <v>河南省郑州市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134023</v>
      </c>
      <c r="F53" s="1951" t="e">
        <f t="shared" ref="F53:F62" si="15">ROUND(B53*E53/10000,0)</f>
        <v>#DIV/0!</v>
      </c>
      <c r="G53" s="3430"/>
      <c r="H53" s="343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3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3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3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3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35517.65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2533</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J48" sqref="J4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3.79</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4" t="e">
        <f>ROUND(IF(F16="增加",C6+C16,C6-C16),0)</f>
        <v>#DIV/0!</v>
      </c>
      <c r="E5" s="3094"/>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35"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2765</v>
      </c>
      <c r="X7" s="2906">
        <f>G2</f>
        <v>0</v>
      </c>
      <c r="Y7" s="2906" t="s">
        <v>2766</v>
      </c>
      <c r="Z7" s="2907">
        <f>G3</f>
        <v>3.79</v>
      </c>
      <c r="AA7" s="2193"/>
      <c r="AB7" s="2193"/>
      <c r="AC7" s="2194"/>
      <c r="AD7" s="2908"/>
      <c r="AE7" s="2908"/>
      <c r="AF7" s="2908"/>
      <c r="AG7" s="2908"/>
      <c r="AH7" s="2908"/>
      <c r="AI7" s="2908"/>
      <c r="AJ7" s="2909"/>
    </row>
    <row r="8" spans="1:39" ht="15">
      <c r="A8" s="3436"/>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45" t="s">
        <v>2783</v>
      </c>
      <c r="X8" s="344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36"/>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44" t="s">
        <v>2779</v>
      </c>
      <c r="X9" s="2910" t="s">
        <v>2780</v>
      </c>
      <c r="Y9" s="3072"/>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6"/>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44"/>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6"/>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44" t="s">
        <v>2781</v>
      </c>
      <c r="X11" s="1048" t="s">
        <v>2766</v>
      </c>
      <c r="Y11" s="1654">
        <f>$G$3</f>
        <v>3.79</v>
      </c>
      <c r="Z11" s="1654">
        <f t="shared" ref="Z11:AJ11" si="3">$G$3</f>
        <v>3.79</v>
      </c>
      <c r="AA11" s="1654">
        <f t="shared" si="3"/>
        <v>3.79</v>
      </c>
      <c r="AB11" s="1654">
        <f t="shared" si="3"/>
        <v>3.79</v>
      </c>
      <c r="AC11" s="1654">
        <f t="shared" si="3"/>
        <v>3.79</v>
      </c>
      <c r="AD11" s="1654">
        <f t="shared" si="3"/>
        <v>3.79</v>
      </c>
      <c r="AE11" s="1654">
        <f t="shared" si="3"/>
        <v>3.79</v>
      </c>
      <c r="AF11" s="1654">
        <f t="shared" si="3"/>
        <v>3.79</v>
      </c>
      <c r="AG11" s="1654">
        <f t="shared" si="3"/>
        <v>3.79</v>
      </c>
      <c r="AH11" s="1654">
        <f t="shared" si="3"/>
        <v>3.79</v>
      </c>
      <c r="AI11" s="1654">
        <f t="shared" si="3"/>
        <v>3.79</v>
      </c>
      <c r="AJ11" s="1654">
        <f t="shared" si="3"/>
        <v>3.79</v>
      </c>
    </row>
    <row r="12" spans="1:39" ht="25.5" thickBot="1">
      <c r="A12" s="3435"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44"/>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7"/>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44"/>
      <c r="X13" s="2913"/>
      <c r="Y13" s="2912">
        <f>(-0.163*(Y12^2)-0.59*Y12+7617)*(10^(-4))/Y11</f>
        <v>0.20097625329815305</v>
      </c>
      <c r="Z13" s="2912">
        <f t="shared" ref="Z13:AJ13" si="5">(-0.163*(Z12^2)-0.59*Z12+7617)*(10^(-4))/Z11</f>
        <v>0.20097625329815305</v>
      </c>
      <c r="AA13" s="2912">
        <f t="shared" si="5"/>
        <v>0.20097625329815305</v>
      </c>
      <c r="AB13" s="2912">
        <f t="shared" si="5"/>
        <v>0.20097625329815305</v>
      </c>
      <c r="AC13" s="2912">
        <f t="shared" si="5"/>
        <v>0.20097625329815305</v>
      </c>
      <c r="AD13" s="2912">
        <f t="shared" si="5"/>
        <v>0.20097625329815305</v>
      </c>
      <c r="AE13" s="2912">
        <f t="shared" si="5"/>
        <v>0.20097625329815305</v>
      </c>
      <c r="AF13" s="2912">
        <f t="shared" si="5"/>
        <v>0.20097625329815305</v>
      </c>
      <c r="AG13" s="2912">
        <f t="shared" si="5"/>
        <v>0.20097625329815305</v>
      </c>
      <c r="AH13" s="2912">
        <f t="shared" si="5"/>
        <v>0.20097625329815305</v>
      </c>
      <c r="AI13" s="2912">
        <f t="shared" si="5"/>
        <v>0.20097625329815305</v>
      </c>
      <c r="AJ13" s="2912">
        <f t="shared" si="5"/>
        <v>0.20097625329815305</v>
      </c>
    </row>
    <row r="14" spans="1:39" ht="12.75" customHeight="1" thickBot="1">
      <c r="A14" s="3437"/>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3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3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43564</v>
      </c>
      <c r="H19" s="1476" t="s">
        <v>2937</v>
      </c>
      <c r="I19" s="2763" t="str">
        <f>IF(H19="季度增幅（自定义）",SUMIF(N21:N24,E2,O21:O24),"")</f>
        <v/>
      </c>
      <c r="J19" s="1472"/>
      <c r="K19" s="1482"/>
      <c r="L19" s="3013" t="s">
        <v>2841</v>
      </c>
      <c r="M19" s="3014">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69">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5" t="s">
        <v>2842</v>
      </c>
      <c r="M20" s="3016">
        <f>ROUND(SUMPRODUCT((地价!A4:A25=YEAR(G19)&amp;"-"&amp;ROUNDUP(MONTH(G19)/3,0))*(地价!B2:F2=E2)*(地价!B4:F25)),0)</f>
        <v>0</v>
      </c>
      <c r="N20" s="2768" t="s">
        <v>2645</v>
      </c>
      <c r="O20" s="2766" t="s">
        <v>2644</v>
      </c>
      <c r="P20" s="2767" t="s">
        <v>2650</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3.7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1"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2" t="s">
        <v>2990</v>
      </c>
      <c r="C41" s="839" t="e">
        <f>ROUND(POWER(1+E41,H41-G41)*(POWER(1+E41,G41)-1)/(POWER(1+E41,H41)-1),4)</f>
        <v>#DIV/0!</v>
      </c>
      <c r="D41" s="378" t="s">
        <v>2988</v>
      </c>
      <c r="E41" s="3171">
        <f>G20</f>
        <v>0</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1"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0"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1"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0"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0"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0" t="s">
        <v>2938</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9" t="s">
        <v>1634</v>
      </c>
      <c r="B90" s="3439"/>
      <c r="C90" s="3439"/>
      <c r="D90" s="3439"/>
      <c r="E90" s="3439"/>
      <c r="F90" s="3439"/>
      <c r="G90" s="3439"/>
      <c r="H90" s="3439"/>
      <c r="I90" s="3439"/>
      <c r="J90" s="3439"/>
      <c r="K90" s="2430"/>
      <c r="L90" s="2430"/>
      <c r="M90" s="2430"/>
      <c r="N90" s="2430"/>
    </row>
    <row r="91" spans="1:40">
      <c r="A91" s="3440" t="s">
        <v>1444</v>
      </c>
      <c r="B91" s="3440" t="s">
        <v>1635</v>
      </c>
      <c r="C91" s="1140" t="s">
        <v>1636</v>
      </c>
      <c r="D91" s="1141"/>
      <c r="E91" s="1141"/>
      <c r="F91" s="1141"/>
      <c r="G91" s="1141"/>
      <c r="H91" s="1141"/>
      <c r="I91" s="1141"/>
      <c r="J91" s="1142"/>
      <c r="K91" s="1134"/>
      <c r="L91" s="1134"/>
      <c r="M91" s="1134"/>
      <c r="N91" s="1134"/>
    </row>
    <row r="92" spans="1:40">
      <c r="A92" s="3440"/>
      <c r="B92" s="3440"/>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7" t="s">
        <v>1638</v>
      </c>
      <c r="B101" s="1147" t="s">
        <v>906</v>
      </c>
      <c r="C101" s="1148">
        <f>$G$3</f>
        <v>3.79</v>
      </c>
      <c r="D101" s="1148">
        <f t="shared" ref="D101:N101" si="31">$G$3</f>
        <v>3.79</v>
      </c>
      <c r="E101" s="1148">
        <f t="shared" si="31"/>
        <v>3.79</v>
      </c>
      <c r="F101" s="1148">
        <f t="shared" si="31"/>
        <v>3.79</v>
      </c>
      <c r="G101" s="1148">
        <f t="shared" si="31"/>
        <v>3.79</v>
      </c>
      <c r="H101" s="1148">
        <f t="shared" si="31"/>
        <v>3.79</v>
      </c>
      <c r="I101" s="1148">
        <f t="shared" si="31"/>
        <v>3.79</v>
      </c>
      <c r="J101" s="1148">
        <f t="shared" si="31"/>
        <v>3.79</v>
      </c>
      <c r="K101" s="1148">
        <f t="shared" si="31"/>
        <v>3.79</v>
      </c>
      <c r="L101" s="1148">
        <f t="shared" si="31"/>
        <v>3.79</v>
      </c>
      <c r="M101" s="1148">
        <f t="shared" si="31"/>
        <v>3.79</v>
      </c>
      <c r="N101" s="1148">
        <f t="shared" si="31"/>
        <v>3.79</v>
      </c>
    </row>
    <row r="102" spans="1:14">
      <c r="A102" s="3448"/>
      <c r="B102" s="1143">
        <v>1</v>
      </c>
      <c r="C102" s="1144">
        <f>1.9362/C101</f>
        <v>0.51087071240105542</v>
      </c>
      <c r="D102" s="1144">
        <f>1.9362/D101</f>
        <v>0.51087071240105542</v>
      </c>
      <c r="E102" s="1144">
        <f>1.8629/E101</f>
        <v>0.49153034300791554</v>
      </c>
      <c r="F102" s="1144">
        <f>1.8629/F101</f>
        <v>0.49153034300791554</v>
      </c>
      <c r="G102" s="1144">
        <f>1.8629/G101</f>
        <v>0.49153034300791554</v>
      </c>
      <c r="H102" s="1144">
        <f>1.8629/H101</f>
        <v>0.49153034300791554</v>
      </c>
      <c r="I102" s="1144">
        <f>1.8629/I101</f>
        <v>0.49153034300791554</v>
      </c>
      <c r="J102" s="1144">
        <f>1.942/J101</f>
        <v>0.51240105540897096</v>
      </c>
      <c r="K102" s="1144">
        <f>1.942/K101</f>
        <v>0.51240105540897096</v>
      </c>
      <c r="L102" s="1144">
        <f>1.942/L101</f>
        <v>0.51240105540897096</v>
      </c>
      <c r="M102" s="1144">
        <f>1.942/M101</f>
        <v>0.51240105540897096</v>
      </c>
      <c r="N102" s="1144">
        <f>1.942/N101</f>
        <v>0.51240105540897096</v>
      </c>
    </row>
    <row r="103" spans="1:14">
      <c r="A103" s="3448"/>
      <c r="B103" s="1143">
        <v>2</v>
      </c>
      <c r="C103" s="1144">
        <f>1.4198/C101</f>
        <v>0.37461741424802109</v>
      </c>
      <c r="D103" s="1144">
        <f>1.4198/D101</f>
        <v>0.37461741424802109</v>
      </c>
      <c r="E103" s="1144">
        <f>1.3372/E101</f>
        <v>0.35282321899736147</v>
      </c>
      <c r="F103" s="1144">
        <f>1.3372/F101</f>
        <v>0.35282321899736147</v>
      </c>
      <c r="G103" s="1144">
        <f>1.3372/G101</f>
        <v>0.35282321899736147</v>
      </c>
      <c r="H103" s="1144">
        <f>1.3372/H101</f>
        <v>0.35282321899736147</v>
      </c>
      <c r="I103" s="1144">
        <f>1.3372/I101</f>
        <v>0.35282321899736147</v>
      </c>
      <c r="J103" s="1144">
        <f>1.2799/J101</f>
        <v>0.33770448548812665</v>
      </c>
      <c r="K103" s="1144">
        <f>1.2799/K101</f>
        <v>0.33770448548812665</v>
      </c>
      <c r="L103" s="1144">
        <f>1.2799/L101</f>
        <v>0.33770448548812665</v>
      </c>
      <c r="M103" s="1144">
        <f>1.2799/M101</f>
        <v>0.33770448548812665</v>
      </c>
      <c r="N103" s="1144">
        <f>1.2799/N101</f>
        <v>0.33770448548812665</v>
      </c>
    </row>
    <row r="104" spans="1:14">
      <c r="A104" s="3448"/>
      <c r="B104" s="1143">
        <v>3</v>
      </c>
      <c r="C104" s="1144">
        <f>1.1594/C101</f>
        <v>0.30591029023746702</v>
      </c>
      <c r="D104" s="1144">
        <f>1.1594/D101</f>
        <v>0.30591029023746702</v>
      </c>
      <c r="E104" s="1144">
        <f>1.0788/E101</f>
        <v>0.28464379947229551</v>
      </c>
      <c r="F104" s="1144">
        <f>1.0788/F101</f>
        <v>0.28464379947229551</v>
      </c>
      <c r="G104" s="1144">
        <f>1.0788/G101</f>
        <v>0.28464379947229551</v>
      </c>
      <c r="H104" s="1144">
        <f>1.0788/H101</f>
        <v>0.28464379947229551</v>
      </c>
      <c r="I104" s="1144">
        <f>1.0788/I101</f>
        <v>0.28464379947229551</v>
      </c>
      <c r="J104" s="1144">
        <f>1.0072/J101</f>
        <v>0.26575197889182062</v>
      </c>
      <c r="K104" s="1144">
        <f>1.0072/K101</f>
        <v>0.26575197889182062</v>
      </c>
      <c r="L104" s="1144">
        <f>1.0072/L101</f>
        <v>0.26575197889182062</v>
      </c>
      <c r="M104" s="1144">
        <f>1.0072/M101</f>
        <v>0.26575197889182062</v>
      </c>
      <c r="N104" s="1144">
        <f>1.0072/N101</f>
        <v>0.26575197889182062</v>
      </c>
    </row>
    <row r="105" spans="1:14">
      <c r="A105" s="3448"/>
      <c r="B105" s="1143">
        <v>4</v>
      </c>
      <c r="C105" s="1144">
        <f>0.9622/C101</f>
        <v>0.25387862796833777</v>
      </c>
      <c r="D105" s="1144">
        <f>0.9622/D101</f>
        <v>0.25387862796833777</v>
      </c>
      <c r="E105" s="1144">
        <f>0.8656/E101</f>
        <v>0.22839050131926122</v>
      </c>
      <c r="F105" s="1144">
        <f>0.8656/F101</f>
        <v>0.22839050131926122</v>
      </c>
      <c r="G105" s="1144">
        <f>0.8656/G101</f>
        <v>0.22839050131926122</v>
      </c>
      <c r="H105" s="1144">
        <f>0.8656/H101</f>
        <v>0.22839050131926122</v>
      </c>
      <c r="I105" s="1144">
        <f>0.8656/I101</f>
        <v>0.22839050131926122</v>
      </c>
      <c r="J105" s="1144">
        <f>0.7525/J101</f>
        <v>0.19854881266490765</v>
      </c>
      <c r="K105" s="1144">
        <f>0.7525/K101</f>
        <v>0.19854881266490765</v>
      </c>
      <c r="L105" s="1144">
        <f>0.7525/L101</f>
        <v>0.19854881266490765</v>
      </c>
      <c r="M105" s="1144">
        <f>0.7525/M101</f>
        <v>0.19854881266490765</v>
      </c>
      <c r="N105" s="1144">
        <f>0.7525/N101</f>
        <v>0.19854881266490765</v>
      </c>
    </row>
    <row r="106" spans="1:14">
      <c r="A106" s="3448"/>
      <c r="B106" s="1143">
        <v>5</v>
      </c>
      <c r="C106" s="1144">
        <f>0.8417/C101</f>
        <v>0.22208443271767811</v>
      </c>
      <c r="D106" s="1144">
        <f>0.8417/D101</f>
        <v>0.22208443271767811</v>
      </c>
      <c r="E106" s="1144">
        <f>0.7371/E101</f>
        <v>0.19448548812664906</v>
      </c>
      <c r="F106" s="1144">
        <f>0.7371/F101</f>
        <v>0.19448548812664906</v>
      </c>
      <c r="G106" s="1144">
        <f>0.7371/G101</f>
        <v>0.19448548812664906</v>
      </c>
      <c r="H106" s="1144">
        <f>0.7371/H101</f>
        <v>0.19448548812664906</v>
      </c>
      <c r="I106" s="1144">
        <f>0.7371/I101</f>
        <v>0.19448548812664906</v>
      </c>
      <c r="J106" s="1144">
        <f>0.5659/J101</f>
        <v>0.14931398416886543</v>
      </c>
      <c r="K106" s="1144">
        <f>0.5659/K101</f>
        <v>0.14931398416886543</v>
      </c>
      <c r="L106" s="1144">
        <f>0.5659/L101</f>
        <v>0.14931398416886543</v>
      </c>
      <c r="M106" s="1144">
        <f>0.5659/M101</f>
        <v>0.14931398416886543</v>
      </c>
      <c r="N106" s="1144">
        <f>0.5659/N101</f>
        <v>0.14931398416886543</v>
      </c>
    </row>
    <row r="107" spans="1:14">
      <c r="A107" s="3448"/>
      <c r="B107" s="1143">
        <v>6</v>
      </c>
      <c r="C107" s="1144">
        <f>0.7608/C101</f>
        <v>0.20073878627968339</v>
      </c>
      <c r="D107" s="1144">
        <f>0.7608/D101</f>
        <v>0.20073878627968339</v>
      </c>
      <c r="E107" s="1144">
        <f>0.6482/E101</f>
        <v>0.17102902374670184</v>
      </c>
      <c r="F107" s="1144">
        <f>0.6482/F101</f>
        <v>0.17102902374670184</v>
      </c>
      <c r="G107" s="1144">
        <f>0.6482/G101</f>
        <v>0.17102902374670184</v>
      </c>
      <c r="H107" s="1144">
        <f>0.6482/H101</f>
        <v>0.17102902374670184</v>
      </c>
      <c r="I107" s="1144">
        <f>0.6482/I101</f>
        <v>0.17102902374670184</v>
      </c>
      <c r="J107" s="1144">
        <f>0.4525/J101</f>
        <v>0.11939313984168866</v>
      </c>
      <c r="K107" s="1144">
        <f>0.4525/K101</f>
        <v>0.11939313984168866</v>
      </c>
      <c r="L107" s="1144">
        <f>0.4525/L101</f>
        <v>0.11939313984168866</v>
      </c>
      <c r="M107" s="1144">
        <f>0.4525/M101</f>
        <v>0.11939313984168866</v>
      </c>
      <c r="N107" s="1144">
        <f>0.4525/N101</f>
        <v>0.11939313984168866</v>
      </c>
    </row>
    <row r="108" spans="1:14">
      <c r="A108" s="3448"/>
      <c r="B108" s="345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9"/>
      <c r="B109" s="3451"/>
      <c r="C109" s="1146">
        <f>(-0.163*(C108^2)-0.59*C108+7617)*(10^(-4))/C101</f>
        <v>0.20057646437994722</v>
      </c>
      <c r="D109" s="1146">
        <f>(-0.163*(D108^2)-0.59*D108+7617)*(10^(-4))/D101</f>
        <v>0.20057646437994722</v>
      </c>
      <c r="E109" s="1146">
        <f>(-0.161*(E108^2)-7.509*E108+6533)*(10^(-4))/E101</f>
        <v>0.17051778364116096</v>
      </c>
      <c r="F109" s="1146">
        <f>(-0.161*(F108^2)-7.509*F108+6533)*(10^(-4))/F101</f>
        <v>0.17051778364116096</v>
      </c>
      <c r="G109" s="1146">
        <f>(-0.161*(G108^2)-7.509*G108+6533)*(10^(-4))/G101</f>
        <v>0.17051778364116096</v>
      </c>
      <c r="H109" s="1146">
        <f>(-0.161*(H108^2)-7.509*H108+6533)*(10^(-4))/H101</f>
        <v>0.17051778364116096</v>
      </c>
      <c r="I109" s="1146">
        <f>(-0.161*(I108^2)-7.509*I108+6533)*(10^(-4))/I101</f>
        <v>0.17051778364116096</v>
      </c>
      <c r="J109" s="1146">
        <f>(-0.214*(J108^2)-21.991*J108+4665)*(10^(-4))/J101</f>
        <v>0.11808379947229553</v>
      </c>
      <c r="K109" s="1146">
        <f>(-0.214*(K108^2)-21.991*K108+4665)*(10^(-4))/K101</f>
        <v>0.11808379947229553</v>
      </c>
      <c r="L109" s="1146">
        <f>(-0.214*(L108^2)-21.991*L108+4665)*(10^(-4))/L101</f>
        <v>0.11808379947229553</v>
      </c>
      <c r="M109" s="1146">
        <f>(-0.214*(M108^2)-21.991*M108+4665)*(10^(-4))/M101</f>
        <v>0.11808379947229553</v>
      </c>
      <c r="N109" s="1146">
        <f>(-0.214*(N108^2)-21.991*N108+4665)*(10^(-4))/N101</f>
        <v>0.11808379947229553</v>
      </c>
    </row>
    <row r="110" spans="1:14">
      <c r="A110" s="3434" t="s">
        <v>1640</v>
      </c>
      <c r="B110" s="3434"/>
      <c r="C110" s="3434"/>
      <c r="D110" s="3434"/>
      <c r="E110" s="3434"/>
      <c r="F110" s="3434"/>
      <c r="G110" s="3434"/>
      <c r="H110" s="3434"/>
      <c r="I110" s="3434"/>
      <c r="J110" s="3434"/>
      <c r="K110" s="2428"/>
      <c r="L110" s="2428"/>
      <c r="M110" s="2428"/>
      <c r="N110" s="2428"/>
    </row>
    <row r="112" spans="1:14" ht="12.75" thickBot="1"/>
    <row r="113" spans="1:13" ht="25.5" thickBot="1">
      <c r="A113" s="1016" t="s">
        <v>896</v>
      </c>
      <c r="B113" s="2431">
        <f>G3</f>
        <v>3.79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0.89790000000000003</v>
      </c>
      <c r="C115" s="1030">
        <f>B115</f>
        <v>0.89790000000000003</v>
      </c>
      <c r="D115" s="1030">
        <f>ROUND(0.8331-0.0109*B113,4)</f>
        <v>0.79179999999999995</v>
      </c>
      <c r="E115" s="1030">
        <f>D115</f>
        <v>0.79179999999999995</v>
      </c>
      <c r="F115" s="1030">
        <f>E115</f>
        <v>0.79179999999999995</v>
      </c>
      <c r="G115" s="1030">
        <f>F115</f>
        <v>0.79179999999999995</v>
      </c>
      <c r="H115" s="1030">
        <f>G115</f>
        <v>0.79179999999999995</v>
      </c>
      <c r="I115" s="1030">
        <f>ROUND(0.689-0.0155*B113,4)</f>
        <v>0.63029999999999997</v>
      </c>
      <c r="J115" s="1030">
        <f t="shared" ref="J115:M118" si="33">I115</f>
        <v>0.63029999999999997</v>
      </c>
      <c r="K115" s="1030">
        <f t="shared" si="33"/>
        <v>0.63029999999999997</v>
      </c>
      <c r="L115" s="1030">
        <f t="shared" si="33"/>
        <v>0.63029999999999997</v>
      </c>
      <c r="M115" s="1031">
        <f t="shared" si="33"/>
        <v>0.63029999999999997</v>
      </c>
    </row>
    <row r="116" spans="1:13" ht="12.75">
      <c r="A116" s="1029" t="s">
        <v>901</v>
      </c>
      <c r="B116" s="1030">
        <f>ROUND(0.949-0.012*B113,4)</f>
        <v>0.90349999999999997</v>
      </c>
      <c r="C116" s="1030">
        <f>B116</f>
        <v>0.90349999999999997</v>
      </c>
      <c r="D116" s="1030">
        <f>ROUND(0.8567-0.013*B113,4)</f>
        <v>0.80740000000000001</v>
      </c>
      <c r="E116" s="1030">
        <f t="shared" ref="E116:H117" si="34">D116</f>
        <v>0.80740000000000001</v>
      </c>
      <c r="F116" s="1030">
        <f t="shared" si="34"/>
        <v>0.80740000000000001</v>
      </c>
      <c r="G116" s="1030">
        <f t="shared" si="34"/>
        <v>0.80740000000000001</v>
      </c>
      <c r="H116" s="1030">
        <f t="shared" si="34"/>
        <v>0.80740000000000001</v>
      </c>
      <c r="I116" s="1030">
        <f>ROUND(0.7694-0.014*B113,4)</f>
        <v>0.71630000000000005</v>
      </c>
      <c r="J116" s="1030">
        <f t="shared" si="33"/>
        <v>0.71630000000000005</v>
      </c>
      <c r="K116" s="1030">
        <f t="shared" si="33"/>
        <v>0.71630000000000005</v>
      </c>
      <c r="L116" s="1030">
        <f t="shared" si="33"/>
        <v>0.71630000000000005</v>
      </c>
      <c r="M116" s="1031">
        <f t="shared" si="33"/>
        <v>0.71630000000000005</v>
      </c>
    </row>
    <row r="117" spans="1:13" ht="12.75">
      <c r="A117" s="1032" t="s">
        <v>902</v>
      </c>
      <c r="B117" s="1030">
        <f>ROUND(0.8808-0.006*B113,4)</f>
        <v>0.85809999999999997</v>
      </c>
      <c r="C117" s="1030">
        <f>B117</f>
        <v>0.85809999999999997</v>
      </c>
      <c r="D117" s="1030">
        <f>ROUND(0.8748-0.008*B113,4)</f>
        <v>0.84450000000000003</v>
      </c>
      <c r="E117" s="1030">
        <f t="shared" si="34"/>
        <v>0.84450000000000003</v>
      </c>
      <c r="F117" s="1030">
        <f t="shared" si="34"/>
        <v>0.84450000000000003</v>
      </c>
      <c r="G117" s="1030">
        <f t="shared" si="34"/>
        <v>0.84450000000000003</v>
      </c>
      <c r="H117" s="1030">
        <f t="shared" si="34"/>
        <v>0.84450000000000003</v>
      </c>
      <c r="I117" s="1030">
        <f>ROUND(0.7412-0.0095*B113,4)</f>
        <v>0.70520000000000005</v>
      </c>
      <c r="J117" s="1030">
        <f t="shared" si="33"/>
        <v>0.70520000000000005</v>
      </c>
      <c r="K117" s="1030">
        <f t="shared" si="33"/>
        <v>0.70520000000000005</v>
      </c>
      <c r="L117" s="1030">
        <f t="shared" si="33"/>
        <v>0.70520000000000005</v>
      </c>
      <c r="M117" s="1031">
        <f t="shared" si="33"/>
        <v>0.70520000000000005</v>
      </c>
    </row>
    <row r="118" spans="1:13" ht="13.5" thickBot="1">
      <c r="A118" s="1033" t="s">
        <v>903</v>
      </c>
      <c r="B118" s="1034">
        <f>ROUND(0.7275-0.01*B113,4)</f>
        <v>0.68959999999999999</v>
      </c>
      <c r="C118" s="1034">
        <f>B118</f>
        <v>0.68959999999999999</v>
      </c>
      <c r="D118" s="1034">
        <f>ROUND(0.7043-0.012*B113,4)</f>
        <v>0.65880000000000005</v>
      </c>
      <c r="E118" s="1034">
        <f>D118</f>
        <v>0.65880000000000005</v>
      </c>
      <c r="F118" s="1034">
        <f>E118</f>
        <v>0.65880000000000005</v>
      </c>
      <c r="G118" s="1034">
        <f>ROUND(0.6299-0.0122*B113,4)</f>
        <v>0.5837</v>
      </c>
      <c r="H118" s="1034">
        <f>G118</f>
        <v>0.5837</v>
      </c>
      <c r="I118" s="1034">
        <f>ROUND(0.5667-0.0136*B113,4)</f>
        <v>0.51519999999999999</v>
      </c>
      <c r="J118" s="1034">
        <f t="shared" si="33"/>
        <v>0.51519999999999999</v>
      </c>
      <c r="K118" s="1034">
        <f t="shared" si="33"/>
        <v>0.51519999999999999</v>
      </c>
      <c r="L118" s="1034">
        <f t="shared" si="33"/>
        <v>0.51519999999999999</v>
      </c>
      <c r="M118" s="1035">
        <f t="shared" si="33"/>
        <v>0.51519999999999999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0" t="s">
        <v>1008</v>
      </c>
      <c r="B18" s="1154" t="s">
        <v>1447</v>
      </c>
      <c r="C18" s="1131" t="s">
        <v>1448</v>
      </c>
      <c r="D18" s="1132"/>
      <c r="E18" s="1154">
        <v>1</v>
      </c>
      <c r="F18" s="1133" t="s">
        <v>1449</v>
      </c>
      <c r="G18" s="1134"/>
      <c r="H18" s="1105"/>
      <c r="I18" s="1105"/>
    </row>
    <row r="19" spans="1:9" s="1600" customFormat="1" ht="19.5" customHeight="1">
      <c r="A19" s="3440"/>
      <c r="B19" s="3440" t="s">
        <v>1450</v>
      </c>
      <c r="C19" s="1131" t="s">
        <v>1451</v>
      </c>
      <c r="D19" s="1132"/>
      <c r="E19" s="1154">
        <v>0.9</v>
      </c>
      <c r="F19" s="1133" t="s">
        <v>1452</v>
      </c>
      <c r="G19" s="1134"/>
      <c r="H19" s="1105"/>
      <c r="I19" s="1105"/>
    </row>
    <row r="20" spans="1:9" s="1600" customFormat="1" ht="19.5" customHeight="1">
      <c r="A20" s="3440"/>
      <c r="B20" s="3440"/>
      <c r="C20" s="1131" t="s">
        <v>1453</v>
      </c>
      <c r="D20" s="1132"/>
      <c r="E20" s="1154">
        <v>1.1000000000000001</v>
      </c>
      <c r="F20" s="1133" t="s">
        <v>1454</v>
      </c>
      <c r="G20" s="1134"/>
      <c r="H20" s="1105"/>
      <c r="I20" s="1105"/>
    </row>
    <row r="21" spans="1:9" s="1600" customFormat="1" ht="19.5" customHeight="1">
      <c r="A21" s="3440"/>
      <c r="B21" s="3440"/>
      <c r="C21" s="1131" t="s">
        <v>1455</v>
      </c>
      <c r="D21" s="1132"/>
      <c r="E21" s="1154">
        <v>0.8</v>
      </c>
      <c r="F21" s="1133" t="s">
        <v>1456</v>
      </c>
      <c r="G21" s="1134"/>
      <c r="H21" s="1105"/>
      <c r="I21" s="1105"/>
    </row>
    <row r="22" spans="1:9" s="1600" customFormat="1" ht="19.5" customHeight="1">
      <c r="A22" s="3440"/>
      <c r="B22" s="3440"/>
      <c r="C22" s="1131" t="s">
        <v>1457</v>
      </c>
      <c r="D22" s="1132"/>
      <c r="E22" s="1154">
        <v>0.5</v>
      </c>
      <c r="F22" s="1133"/>
      <c r="G22" s="1134"/>
      <c r="H22" s="1105"/>
      <c r="I22" s="1105"/>
    </row>
    <row r="23" spans="1:9" s="1600" customFormat="1" ht="19.5" customHeight="1">
      <c r="A23" s="3440" t="s">
        <v>1030</v>
      </c>
      <c r="B23" s="1154" t="s">
        <v>1447</v>
      </c>
      <c r="C23" s="1131" t="s">
        <v>1458</v>
      </c>
      <c r="D23" s="1132"/>
      <c r="E23" s="1154">
        <v>1</v>
      </c>
      <c r="F23" s="1133" t="s">
        <v>1459</v>
      </c>
      <c r="G23" s="1134"/>
      <c r="H23" s="1105"/>
      <c r="I23" s="1105"/>
    </row>
    <row r="24" spans="1:9" s="1600" customFormat="1" ht="19.5" customHeight="1">
      <c r="A24" s="3440"/>
      <c r="B24" s="3440" t="s">
        <v>1450</v>
      </c>
      <c r="C24" s="1131" t="s">
        <v>1460</v>
      </c>
      <c r="D24" s="1132"/>
      <c r="E24" s="1154">
        <v>0.5</v>
      </c>
      <c r="F24" s="1133"/>
      <c r="G24" s="1134"/>
      <c r="H24" s="1105"/>
      <c r="I24" s="1105"/>
    </row>
    <row r="25" spans="1:9" s="1600" customFormat="1" ht="19.5" customHeight="1">
      <c r="A25" s="3440"/>
      <c r="B25" s="3440"/>
      <c r="C25" s="1131" t="s">
        <v>1461</v>
      </c>
      <c r="D25" s="1132"/>
      <c r="E25" s="1154">
        <v>1.1000000000000001</v>
      </c>
      <c r="F25" s="1133"/>
      <c r="G25" s="1134"/>
      <c r="H25" s="1105"/>
      <c r="I25" s="1105"/>
    </row>
    <row r="26" spans="1:9" s="1600" customFormat="1" ht="19.5" customHeight="1">
      <c r="A26" s="3440"/>
      <c r="B26" s="3440"/>
      <c r="C26" s="1131" t="s">
        <v>1462</v>
      </c>
      <c r="D26" s="1132"/>
      <c r="E26" s="1154">
        <v>1.1000000000000001</v>
      </c>
      <c r="F26" s="1133"/>
      <c r="G26" s="1134"/>
      <c r="H26" s="1105"/>
      <c r="I26" s="1105"/>
    </row>
    <row r="27" spans="1:9" s="1600" customFormat="1" ht="19.5" customHeight="1">
      <c r="A27" s="3440"/>
      <c r="B27" s="3440"/>
      <c r="C27" s="1131" t="s">
        <v>1463</v>
      </c>
      <c r="D27" s="1132"/>
      <c r="E27" s="1154">
        <v>0.9</v>
      </c>
      <c r="F27" s="1133" t="s">
        <v>1464</v>
      </c>
      <c r="G27" s="1134"/>
      <c r="H27" s="1105"/>
      <c r="I27" s="1105"/>
    </row>
    <row r="28" spans="1:9" s="1600" customFormat="1" ht="19.5" customHeight="1">
      <c r="A28" s="3440"/>
      <c r="B28" s="3440"/>
      <c r="C28" s="1131" t="s">
        <v>1465</v>
      </c>
      <c r="D28" s="1132"/>
      <c r="E28" s="1154">
        <v>0.9</v>
      </c>
      <c r="F28" s="1133" t="s">
        <v>1466</v>
      </c>
      <c r="G28" s="1134"/>
      <c r="H28" s="1105"/>
      <c r="I28" s="1105"/>
    </row>
    <row r="29" spans="1:9" s="1600" customFormat="1" ht="19.5" customHeight="1">
      <c r="A29" s="3440"/>
      <c r="B29" s="3440"/>
      <c r="C29" s="1131" t="s">
        <v>1467</v>
      </c>
      <c r="D29" s="1132"/>
      <c r="E29" s="1154">
        <v>0.9</v>
      </c>
      <c r="F29" s="1133" t="s">
        <v>1468</v>
      </c>
      <c r="G29" s="1134"/>
      <c r="H29" s="1105"/>
      <c r="I29" s="1105"/>
    </row>
    <row r="30" spans="1:9" s="1600" customFormat="1" ht="19.5" customHeight="1">
      <c r="A30" s="3440"/>
      <c r="B30" s="3440"/>
      <c r="C30" s="1131" t="s">
        <v>1469</v>
      </c>
      <c r="D30" s="1132"/>
      <c r="E30" s="1154">
        <v>0.9</v>
      </c>
      <c r="F30" s="1133" t="s">
        <v>1470</v>
      </c>
      <c r="G30" s="1134"/>
      <c r="H30" s="1105"/>
      <c r="I30" s="1105"/>
    </row>
    <row r="31" spans="1:9" s="1600" customFormat="1" ht="19.5" customHeight="1">
      <c r="A31" s="3440"/>
      <c r="B31" s="3440"/>
      <c r="C31" s="1131" t="s">
        <v>1471</v>
      </c>
      <c r="D31" s="1132"/>
      <c r="E31" s="1154">
        <v>0.8</v>
      </c>
      <c r="F31" s="1133" t="s">
        <v>1472</v>
      </c>
      <c r="G31" s="1134"/>
      <c r="H31" s="1105"/>
      <c r="I31" s="1105"/>
    </row>
    <row r="32" spans="1:9" s="1600" customFormat="1" ht="19.5" customHeight="1">
      <c r="A32" s="3440"/>
      <c r="B32" s="3440"/>
      <c r="C32" s="1131" t="s">
        <v>1473</v>
      </c>
      <c r="D32" s="1132"/>
      <c r="E32" s="1154">
        <v>0.8</v>
      </c>
      <c r="F32" s="1133" t="s">
        <v>1474</v>
      </c>
      <c r="G32" s="1134"/>
      <c r="H32" s="1105"/>
      <c r="I32" s="1105"/>
    </row>
    <row r="33" spans="1:9" s="1600" customFormat="1" ht="19.5" customHeight="1">
      <c r="A33" s="3440" t="s">
        <v>1475</v>
      </c>
      <c r="B33" s="1154" t="s">
        <v>1447</v>
      </c>
      <c r="C33" s="1131" t="s">
        <v>1476</v>
      </c>
      <c r="D33" s="1132"/>
      <c r="E33" s="1154">
        <v>1</v>
      </c>
      <c r="F33" s="1133" t="s">
        <v>1477</v>
      </c>
      <c r="G33" s="1134"/>
      <c r="H33" s="1105"/>
      <c r="I33" s="1105"/>
    </row>
    <row r="34" spans="1:9" s="1600" customFormat="1" ht="19.5" customHeight="1">
      <c r="A34" s="3440"/>
      <c r="B34" s="1154" t="s">
        <v>1450</v>
      </c>
      <c r="C34" s="1131" t="s">
        <v>1478</v>
      </c>
      <c r="D34" s="1132"/>
      <c r="E34" s="1154">
        <v>1.5</v>
      </c>
      <c r="F34" s="1133" t="s">
        <v>1479</v>
      </c>
      <c r="G34" s="1134"/>
      <c r="H34" s="1105"/>
      <c r="I34" s="1105"/>
    </row>
    <row r="35" spans="1:9" s="1600" customFormat="1" ht="19.5" customHeight="1">
      <c r="A35" s="3440" t="s">
        <v>1433</v>
      </c>
      <c r="B35" s="1154" t="s">
        <v>1447</v>
      </c>
      <c r="C35" s="1131" t="s">
        <v>1480</v>
      </c>
      <c r="D35" s="1132"/>
      <c r="E35" s="1154">
        <v>1</v>
      </c>
      <c r="F35" s="1133" t="s">
        <v>1481</v>
      </c>
      <c r="G35" s="1134"/>
      <c r="H35" s="1105"/>
      <c r="I35" s="1105"/>
    </row>
    <row r="36" spans="1:9" s="1600" customFormat="1" ht="19.5" customHeight="1">
      <c r="A36" s="3440"/>
      <c r="B36" s="3440" t="s">
        <v>1450</v>
      </c>
      <c r="C36" s="1131" t="s">
        <v>1482</v>
      </c>
      <c r="D36" s="1132"/>
      <c r="E36" s="1154">
        <v>1</v>
      </c>
      <c r="F36" s="1133" t="s">
        <v>1483</v>
      </c>
      <c r="G36" s="1134"/>
      <c r="H36" s="1105"/>
      <c r="I36" s="1105"/>
    </row>
    <row r="37" spans="1:9" s="1600" customFormat="1" ht="19.5" customHeight="1">
      <c r="A37" s="3440"/>
      <c r="B37" s="3440"/>
      <c r="C37" s="1131" t="s">
        <v>1484</v>
      </c>
      <c r="D37" s="1132"/>
      <c r="E37" s="1154">
        <v>1.5</v>
      </c>
      <c r="F37" s="1133" t="s">
        <v>1485</v>
      </c>
      <c r="G37" s="1134"/>
      <c r="H37" s="1105"/>
      <c r="I37" s="1105"/>
    </row>
    <row r="38" spans="1:9" s="1600" customFormat="1" ht="19.5" customHeight="1">
      <c r="A38" s="3440"/>
      <c r="B38" s="3440"/>
      <c r="C38" s="1131" t="s">
        <v>1486</v>
      </c>
      <c r="D38" s="1132"/>
      <c r="E38" s="1154">
        <v>1</v>
      </c>
      <c r="F38" s="1133" t="s">
        <v>1487</v>
      </c>
      <c r="G38" s="1134"/>
      <c r="H38" s="1105"/>
      <c r="I38" s="1105"/>
    </row>
    <row r="39" spans="1:9" s="1600" customFormat="1" ht="19.5" customHeight="1">
      <c r="A39" s="3440"/>
      <c r="B39" s="344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0" t="s">
        <v>1502</v>
      </c>
      <c r="C61" s="1068" t="s">
        <v>1503</v>
      </c>
      <c r="D61" s="1068" t="s">
        <v>1504</v>
      </c>
      <c r="E61" s="1139">
        <v>0.5</v>
      </c>
      <c r="F61" s="1154">
        <v>80</v>
      </c>
      <c r="H61" s="1105">
        <f>SUMIF(C59:C119,基准地价!C8,E59:E119)</f>
        <v>0</v>
      </c>
    </row>
    <row r="62" spans="1:8" s="1105" customFormat="1" ht="24">
      <c r="A62" s="1154">
        <v>2</v>
      </c>
      <c r="B62" s="3440"/>
      <c r="C62" s="1068" t="s">
        <v>1505</v>
      </c>
      <c r="D62" s="1068" t="s">
        <v>1506</v>
      </c>
      <c r="E62" s="1139">
        <v>0.5</v>
      </c>
      <c r="F62" s="1154">
        <v>80</v>
      </c>
    </row>
    <row r="63" spans="1:8" s="1105" customFormat="1" ht="36">
      <c r="A63" s="1154">
        <v>3</v>
      </c>
      <c r="B63" s="3440"/>
      <c r="C63" s="1068" t="s">
        <v>1507</v>
      </c>
      <c r="D63" s="1068" t="s">
        <v>1508</v>
      </c>
      <c r="E63" s="1139">
        <v>0.5</v>
      </c>
      <c r="F63" s="1154">
        <v>80</v>
      </c>
    </row>
    <row r="64" spans="1:8" s="1105" customFormat="1" ht="36">
      <c r="A64" s="1154">
        <v>4</v>
      </c>
      <c r="B64" s="3440"/>
      <c r="C64" s="1068" t="s">
        <v>1509</v>
      </c>
      <c r="D64" s="1068" t="s">
        <v>1510</v>
      </c>
      <c r="E64" s="1139">
        <v>0.4</v>
      </c>
      <c r="F64" s="1154">
        <v>60</v>
      </c>
    </row>
    <row r="65" spans="1:6" s="1105" customFormat="1" ht="36">
      <c r="A65" s="1154">
        <v>5</v>
      </c>
      <c r="B65" s="3440"/>
      <c r="C65" s="1068" t="s">
        <v>1511</v>
      </c>
      <c r="D65" s="1068" t="s">
        <v>1512</v>
      </c>
      <c r="E65" s="1139">
        <v>0.2</v>
      </c>
      <c r="F65" s="1154">
        <v>30</v>
      </c>
    </row>
    <row r="66" spans="1:6" s="1105" customFormat="1" ht="36">
      <c r="A66" s="1154">
        <v>6</v>
      </c>
      <c r="B66" s="3440"/>
      <c r="C66" s="1068" t="s">
        <v>1513</v>
      </c>
      <c r="D66" s="1068" t="s">
        <v>1514</v>
      </c>
      <c r="E66" s="1139">
        <v>0.3</v>
      </c>
      <c r="F66" s="1154">
        <v>50</v>
      </c>
    </row>
    <row r="67" spans="1:6" s="1105" customFormat="1" ht="36">
      <c r="A67" s="1154">
        <v>7</v>
      </c>
      <c r="B67" s="3440"/>
      <c r="C67" s="1068" t="s">
        <v>1515</v>
      </c>
      <c r="D67" s="1068" t="s">
        <v>1516</v>
      </c>
      <c r="E67" s="1139">
        <v>0.2</v>
      </c>
      <c r="F67" s="1154">
        <v>30</v>
      </c>
    </row>
    <row r="68" spans="1:6" s="1105" customFormat="1" ht="36">
      <c r="A68" s="1154">
        <v>8</v>
      </c>
      <c r="B68" s="3440"/>
      <c r="C68" s="1068" t="s">
        <v>1517</v>
      </c>
      <c r="D68" s="1068" t="s">
        <v>1518</v>
      </c>
      <c r="E68" s="1139">
        <v>0.2</v>
      </c>
      <c r="F68" s="1154">
        <v>30</v>
      </c>
    </row>
    <row r="69" spans="1:6" s="1105" customFormat="1" ht="36">
      <c r="A69" s="1154">
        <v>9</v>
      </c>
      <c r="B69" s="3440"/>
      <c r="C69" s="1068" t="s">
        <v>1519</v>
      </c>
      <c r="D69" s="1068" t="s">
        <v>1520</v>
      </c>
      <c r="E69" s="1139">
        <v>0.2</v>
      </c>
      <c r="F69" s="1154">
        <v>30</v>
      </c>
    </row>
    <row r="70" spans="1:6" s="1105" customFormat="1" ht="48">
      <c r="A70" s="1154">
        <v>10</v>
      </c>
      <c r="B70" s="3440"/>
      <c r="C70" s="1068" t="s">
        <v>1521</v>
      </c>
      <c r="D70" s="1068" t="s">
        <v>1522</v>
      </c>
      <c r="E70" s="1139">
        <v>0.2</v>
      </c>
      <c r="F70" s="1154">
        <v>30</v>
      </c>
    </row>
    <row r="71" spans="1:6" s="1105" customFormat="1" ht="48">
      <c r="A71" s="1154">
        <v>11</v>
      </c>
      <c r="B71" s="3440"/>
      <c r="C71" s="1068" t="s">
        <v>1523</v>
      </c>
      <c r="D71" s="1068" t="s">
        <v>1524</v>
      </c>
      <c r="E71" s="1139">
        <v>0.2</v>
      </c>
      <c r="F71" s="1154">
        <v>30</v>
      </c>
    </row>
    <row r="72" spans="1:6" s="1105" customFormat="1" ht="36">
      <c r="A72" s="1154">
        <v>12</v>
      </c>
      <c r="B72" s="3440"/>
      <c r="C72" s="1068" t="s">
        <v>1525</v>
      </c>
      <c r="D72" s="1068" t="s">
        <v>1526</v>
      </c>
      <c r="E72" s="1139">
        <v>0.5</v>
      </c>
      <c r="F72" s="1154">
        <v>80</v>
      </c>
    </row>
    <row r="73" spans="1:6" s="1105" customFormat="1" ht="24">
      <c r="A73" s="1154">
        <v>13</v>
      </c>
      <c r="B73" s="3440"/>
      <c r="C73" s="1068" t="s">
        <v>1527</v>
      </c>
      <c r="D73" s="1068" t="s">
        <v>1528</v>
      </c>
      <c r="E73" s="1139">
        <v>0.4</v>
      </c>
      <c r="F73" s="1154">
        <v>60</v>
      </c>
    </row>
    <row r="74" spans="1:6" s="1105" customFormat="1" ht="24">
      <c r="A74" s="1154">
        <v>14</v>
      </c>
      <c r="B74" s="3440"/>
      <c r="C74" s="1068" t="s">
        <v>1529</v>
      </c>
      <c r="D74" s="1068" t="s">
        <v>1530</v>
      </c>
      <c r="E74" s="1139">
        <v>0.2</v>
      </c>
      <c r="F74" s="1154">
        <v>30</v>
      </c>
    </row>
    <row r="75" spans="1:6" s="1105" customFormat="1" ht="24">
      <c r="A75" s="1154">
        <v>15</v>
      </c>
      <c r="B75" s="3440"/>
      <c r="C75" s="1068" t="s">
        <v>1531</v>
      </c>
      <c r="D75" s="1068" t="s">
        <v>1532</v>
      </c>
      <c r="E75" s="1139">
        <v>0.2</v>
      </c>
      <c r="F75" s="1154">
        <v>30</v>
      </c>
    </row>
    <row r="76" spans="1:6" s="1105" customFormat="1" ht="24">
      <c r="A76" s="1154">
        <v>16</v>
      </c>
      <c r="B76" s="3440" t="s">
        <v>1533</v>
      </c>
      <c r="C76" s="1068" t="s">
        <v>1534</v>
      </c>
      <c r="D76" s="1068" t="s">
        <v>1535</v>
      </c>
      <c r="E76" s="1139">
        <v>0.5</v>
      </c>
      <c r="F76" s="1154">
        <v>80</v>
      </c>
    </row>
    <row r="77" spans="1:6" s="1105" customFormat="1" ht="24">
      <c r="A77" s="1154">
        <v>17</v>
      </c>
      <c r="B77" s="3440"/>
      <c r="C77" s="1068" t="s">
        <v>1536</v>
      </c>
      <c r="D77" s="1068" t="s">
        <v>1537</v>
      </c>
      <c r="E77" s="1139">
        <v>0.5</v>
      </c>
      <c r="F77" s="1154">
        <v>80</v>
      </c>
    </row>
    <row r="78" spans="1:6" s="1105" customFormat="1" ht="24">
      <c r="A78" s="1154">
        <v>18</v>
      </c>
      <c r="B78" s="3440"/>
      <c r="C78" s="1068" t="s">
        <v>1538</v>
      </c>
      <c r="D78" s="1068" t="s">
        <v>1539</v>
      </c>
      <c r="E78" s="1139">
        <v>0.2</v>
      </c>
      <c r="F78" s="1154">
        <v>30</v>
      </c>
    </row>
    <row r="79" spans="1:6" s="1105" customFormat="1" ht="24">
      <c r="A79" s="1154">
        <v>19</v>
      </c>
      <c r="B79" s="3440"/>
      <c r="C79" s="1068" t="s">
        <v>1540</v>
      </c>
      <c r="D79" s="1068" t="s">
        <v>1541</v>
      </c>
      <c r="E79" s="1139">
        <v>0.5</v>
      </c>
      <c r="F79" s="1154">
        <v>80</v>
      </c>
    </row>
    <row r="80" spans="1:6" s="1105" customFormat="1" ht="36">
      <c r="A80" s="1154">
        <v>20</v>
      </c>
      <c r="B80" s="3440"/>
      <c r="C80" s="1068" t="s">
        <v>1542</v>
      </c>
      <c r="D80" s="1068" t="s">
        <v>1543</v>
      </c>
      <c r="E80" s="1139">
        <v>0.2</v>
      </c>
      <c r="F80" s="1154">
        <v>30</v>
      </c>
    </row>
    <row r="81" spans="1:6" s="1105" customFormat="1" ht="36">
      <c r="A81" s="1154">
        <v>21</v>
      </c>
      <c r="B81" s="3440"/>
      <c r="C81" s="1068" t="s">
        <v>1544</v>
      </c>
      <c r="D81" s="1068" t="s">
        <v>1545</v>
      </c>
      <c r="E81" s="1139">
        <v>0.2</v>
      </c>
      <c r="F81" s="1154">
        <v>30</v>
      </c>
    </row>
    <row r="82" spans="1:6" s="1105" customFormat="1" ht="48">
      <c r="A82" s="1154">
        <v>22</v>
      </c>
      <c r="B82" s="3440"/>
      <c r="C82" s="1068" t="s">
        <v>1546</v>
      </c>
      <c r="D82" s="1068" t="s">
        <v>1547</v>
      </c>
      <c r="E82" s="1139">
        <v>0.2</v>
      </c>
      <c r="F82" s="1154">
        <v>30</v>
      </c>
    </row>
    <row r="83" spans="1:6" s="1105" customFormat="1" ht="48">
      <c r="A83" s="1154">
        <v>23</v>
      </c>
      <c r="B83" s="3440"/>
      <c r="C83" s="1068" t="s">
        <v>1548</v>
      </c>
      <c r="D83" s="1068" t="s">
        <v>1549</v>
      </c>
      <c r="E83" s="1139">
        <v>0.2</v>
      </c>
      <c r="F83" s="1154">
        <v>30</v>
      </c>
    </row>
    <row r="84" spans="1:6" s="1105" customFormat="1" ht="36">
      <c r="A84" s="1154">
        <v>24</v>
      </c>
      <c r="B84" s="3440"/>
      <c r="C84" s="1068" t="s">
        <v>1550</v>
      </c>
      <c r="D84" s="1068" t="s">
        <v>1551</v>
      </c>
      <c r="E84" s="1139">
        <v>0.2</v>
      </c>
      <c r="F84" s="1154">
        <v>30</v>
      </c>
    </row>
    <row r="85" spans="1:6" s="1105" customFormat="1" ht="36">
      <c r="A85" s="1154">
        <v>25</v>
      </c>
      <c r="B85" s="3440"/>
      <c r="C85" s="1068" t="s">
        <v>1552</v>
      </c>
      <c r="D85" s="1068" t="s">
        <v>1553</v>
      </c>
      <c r="E85" s="1139">
        <v>0.5</v>
      </c>
      <c r="F85" s="1154">
        <v>80</v>
      </c>
    </row>
    <row r="86" spans="1:6" s="1105" customFormat="1" ht="36">
      <c r="A86" s="1154">
        <v>26</v>
      </c>
      <c r="B86" s="3440"/>
      <c r="C86" s="1068" t="s">
        <v>1554</v>
      </c>
      <c r="D86" s="1068" t="s">
        <v>1555</v>
      </c>
      <c r="E86" s="1139">
        <v>0.2</v>
      </c>
      <c r="F86" s="1154">
        <v>30</v>
      </c>
    </row>
    <row r="87" spans="1:6" s="1105" customFormat="1" ht="36">
      <c r="A87" s="1154">
        <v>27</v>
      </c>
      <c r="B87" s="3440"/>
      <c r="C87" s="1068" t="s">
        <v>1556</v>
      </c>
      <c r="D87" s="1068" t="s">
        <v>1557</v>
      </c>
      <c r="E87" s="1139">
        <v>0.2</v>
      </c>
      <c r="F87" s="1154">
        <v>30</v>
      </c>
    </row>
    <row r="88" spans="1:6" s="1105" customFormat="1" ht="36">
      <c r="A88" s="1154">
        <v>28</v>
      </c>
      <c r="B88" s="3440"/>
      <c r="C88" s="1068" t="s">
        <v>1558</v>
      </c>
      <c r="D88" s="1068" t="s">
        <v>1559</v>
      </c>
      <c r="E88" s="1139">
        <v>0.2</v>
      </c>
      <c r="F88" s="1154">
        <v>30</v>
      </c>
    </row>
    <row r="89" spans="1:6" s="1105" customFormat="1" ht="24">
      <c r="A89" s="1154">
        <v>29</v>
      </c>
      <c r="B89" s="3440"/>
      <c r="C89" s="1068" t="s">
        <v>1560</v>
      </c>
      <c r="D89" s="1068" t="s">
        <v>1561</v>
      </c>
      <c r="E89" s="1139">
        <v>0.2</v>
      </c>
      <c r="F89" s="1154">
        <v>30</v>
      </c>
    </row>
    <row r="90" spans="1:6" s="1105" customFormat="1" ht="24">
      <c r="A90" s="1154">
        <v>30</v>
      </c>
      <c r="B90" s="3440"/>
      <c r="C90" s="1068" t="s">
        <v>1562</v>
      </c>
      <c r="D90" s="1068" t="s">
        <v>1563</v>
      </c>
      <c r="E90" s="1139">
        <v>0.2</v>
      </c>
      <c r="F90" s="1154">
        <v>30</v>
      </c>
    </row>
    <row r="91" spans="1:6" s="1105" customFormat="1" ht="36">
      <c r="A91" s="1154">
        <v>31</v>
      </c>
      <c r="B91" s="3440"/>
      <c r="C91" s="1068" t="s">
        <v>1564</v>
      </c>
      <c r="D91" s="1068" t="s">
        <v>1565</v>
      </c>
      <c r="E91" s="1139">
        <v>0.2</v>
      </c>
      <c r="F91" s="1154">
        <v>30</v>
      </c>
    </row>
    <row r="92" spans="1:6" s="1105" customFormat="1" ht="24">
      <c r="A92" s="1154">
        <v>32</v>
      </c>
      <c r="B92" s="3440" t="s">
        <v>1566</v>
      </c>
      <c r="C92" s="1154" t="s">
        <v>1567</v>
      </c>
      <c r="D92" s="1068" t="s">
        <v>1568</v>
      </c>
      <c r="E92" s="1139">
        <v>0.2</v>
      </c>
      <c r="F92" s="1154">
        <v>30</v>
      </c>
    </row>
    <row r="93" spans="1:6" s="1105" customFormat="1" ht="36">
      <c r="A93" s="1154">
        <v>33</v>
      </c>
      <c r="B93" s="3440"/>
      <c r="C93" s="1154" t="s">
        <v>1569</v>
      </c>
      <c r="D93" s="1068" t="s">
        <v>1570</v>
      </c>
      <c r="E93" s="1139">
        <v>0.2</v>
      </c>
      <c r="F93" s="1154">
        <v>30</v>
      </c>
    </row>
    <row r="94" spans="1:6" s="1105" customFormat="1" ht="48">
      <c r="A94" s="1154">
        <v>34</v>
      </c>
      <c r="B94" s="3440"/>
      <c r="C94" s="1154" t="s">
        <v>1571</v>
      </c>
      <c r="D94" s="1068" t="s">
        <v>1572</v>
      </c>
      <c r="E94" s="1139">
        <v>0.2</v>
      </c>
      <c r="F94" s="1154">
        <v>30</v>
      </c>
    </row>
    <row r="95" spans="1:6" s="1105" customFormat="1" ht="36">
      <c r="A95" s="1154">
        <v>35</v>
      </c>
      <c r="B95" s="3440"/>
      <c r="C95" s="1154" t="s">
        <v>1573</v>
      </c>
      <c r="D95" s="1068" t="s">
        <v>1574</v>
      </c>
      <c r="E95" s="1139">
        <v>0.2</v>
      </c>
      <c r="F95" s="1154">
        <v>30</v>
      </c>
    </row>
    <row r="96" spans="1:6" s="1105" customFormat="1" ht="48">
      <c r="A96" s="1154">
        <v>36</v>
      </c>
      <c r="B96" s="3440"/>
      <c r="C96" s="1068" t="s">
        <v>1575</v>
      </c>
      <c r="D96" s="1068" t="s">
        <v>1576</v>
      </c>
      <c r="E96" s="1139">
        <v>0.2</v>
      </c>
      <c r="F96" s="1154">
        <v>30</v>
      </c>
    </row>
    <row r="97" spans="1:6" s="1105" customFormat="1" ht="36">
      <c r="A97" s="1154">
        <v>37</v>
      </c>
      <c r="B97" s="3440"/>
      <c r="C97" s="1154" t="s">
        <v>1577</v>
      </c>
      <c r="D97" s="1068" t="s">
        <v>1578</v>
      </c>
      <c r="E97" s="1139">
        <v>0.2</v>
      </c>
      <c r="F97" s="1154">
        <v>30</v>
      </c>
    </row>
    <row r="98" spans="1:6" s="1105" customFormat="1" ht="36">
      <c r="A98" s="1154">
        <v>38</v>
      </c>
      <c r="B98" s="3440"/>
      <c r="C98" s="1154" t="s">
        <v>1579</v>
      </c>
      <c r="D98" s="1068" t="s">
        <v>1580</v>
      </c>
      <c r="E98" s="1139">
        <v>0.2</v>
      </c>
      <c r="F98" s="1154">
        <v>30</v>
      </c>
    </row>
    <row r="99" spans="1:6" s="1105" customFormat="1" ht="36">
      <c r="A99" s="1154">
        <v>39</v>
      </c>
      <c r="B99" s="3440" t="s">
        <v>1581</v>
      </c>
      <c r="C99" s="1154" t="s">
        <v>1582</v>
      </c>
      <c r="D99" s="1068" t="s">
        <v>1583</v>
      </c>
      <c r="E99" s="1139">
        <v>0.3</v>
      </c>
      <c r="F99" s="1154">
        <v>50</v>
      </c>
    </row>
    <row r="100" spans="1:6" s="1105" customFormat="1" ht="24">
      <c r="A100" s="1154">
        <v>40</v>
      </c>
      <c r="B100" s="3440"/>
      <c r="C100" s="1154" t="s">
        <v>1584</v>
      </c>
      <c r="D100" s="1068" t="s">
        <v>1585</v>
      </c>
      <c r="E100" s="1139">
        <v>0.2</v>
      </c>
      <c r="F100" s="1154">
        <v>30</v>
      </c>
    </row>
    <row r="101" spans="1:6" s="1105" customFormat="1" ht="36">
      <c r="A101" s="1154">
        <v>41</v>
      </c>
      <c r="B101" s="344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0" t="s">
        <v>1596</v>
      </c>
      <c r="C105" s="1154" t="s">
        <v>1597</v>
      </c>
      <c r="D105" s="1068" t="s">
        <v>1598</v>
      </c>
      <c r="E105" s="1139">
        <v>0.2</v>
      </c>
      <c r="F105" s="1154">
        <v>30</v>
      </c>
    </row>
    <row r="106" spans="1:6" s="1105" customFormat="1" ht="36">
      <c r="A106" s="1154">
        <v>46</v>
      </c>
      <c r="B106" s="3440"/>
      <c r="C106" s="1154" t="s">
        <v>1599</v>
      </c>
      <c r="D106" s="1068" t="s">
        <v>1600</v>
      </c>
      <c r="E106" s="1139">
        <v>0.2</v>
      </c>
      <c r="F106" s="1154">
        <v>30</v>
      </c>
    </row>
    <row r="107" spans="1:6" s="1105" customFormat="1" ht="36">
      <c r="A107" s="1154">
        <v>47</v>
      </c>
      <c r="B107" s="3440" t="s">
        <v>1601</v>
      </c>
      <c r="C107" s="1154" t="s">
        <v>1602</v>
      </c>
      <c r="D107" s="1068" t="s">
        <v>1603</v>
      </c>
      <c r="E107" s="1139">
        <v>0.3</v>
      </c>
      <c r="F107" s="1154">
        <v>50</v>
      </c>
    </row>
    <row r="108" spans="1:6" s="1105" customFormat="1" ht="36">
      <c r="A108" s="1154">
        <v>48</v>
      </c>
      <c r="B108" s="344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0" t="s">
        <v>1612</v>
      </c>
      <c r="C111" s="1154" t="s">
        <v>1613</v>
      </c>
      <c r="D111" s="1068" t="s">
        <v>1614</v>
      </c>
      <c r="E111" s="1139">
        <v>0.2</v>
      </c>
      <c r="F111" s="1154">
        <v>30</v>
      </c>
    </row>
    <row r="112" spans="1:6" s="1105" customFormat="1" ht="24">
      <c r="A112" s="1154">
        <v>52</v>
      </c>
      <c r="B112" s="3440"/>
      <c r="C112" s="1154" t="s">
        <v>1615</v>
      </c>
      <c r="D112" s="1068" t="s">
        <v>1616</v>
      </c>
      <c r="E112" s="1139">
        <v>0.2</v>
      </c>
      <c r="F112" s="1154">
        <v>30</v>
      </c>
    </row>
    <row r="113" spans="1:14" s="1105" customFormat="1" ht="24">
      <c r="A113" s="1154">
        <v>53</v>
      </c>
      <c r="B113" s="344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0" t="s">
        <v>1625</v>
      </c>
      <c r="C116" s="1154" t="s">
        <v>1626</v>
      </c>
      <c r="D116" s="1068" t="s">
        <v>1627</v>
      </c>
      <c r="E116" s="1139">
        <v>0.2</v>
      </c>
      <c r="F116" s="1154">
        <v>30</v>
      </c>
    </row>
    <row r="117" spans="1:14" ht="36">
      <c r="A117" s="1154">
        <v>57</v>
      </c>
      <c r="B117" s="344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9" t="s">
        <v>1634</v>
      </c>
      <c r="B121" s="3439"/>
      <c r="C121" s="3439"/>
      <c r="D121" s="3439"/>
      <c r="E121" s="3439"/>
      <c r="F121" s="3439"/>
      <c r="G121" s="3439"/>
      <c r="H121" s="3439"/>
      <c r="I121" s="3439"/>
      <c r="J121" s="343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2" t="s">
        <v>1040</v>
      </c>
      <c r="B1" s="3452"/>
      <c r="C1" s="3452"/>
      <c r="D1" s="3452"/>
      <c r="E1" s="3452"/>
      <c r="F1" s="345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3" t="s">
        <v>1053</v>
      </c>
      <c r="B2" s="3453"/>
      <c r="C2" s="3453"/>
      <c r="D2" s="3453"/>
      <c r="E2" s="3453"/>
      <c r="F2" s="345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6" t="s">
        <v>2080</v>
      </c>
      <c r="B1" s="345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48" sqref="J4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2951</v>
      </c>
      <c r="B1" s="3079"/>
      <c r="C1" s="3079"/>
      <c r="D1" s="3079"/>
      <c r="E1" s="3079"/>
      <c r="F1" s="3079"/>
    </row>
    <row r="2" spans="1:6" ht="14.25">
      <c r="A2" s="3080" t="s">
        <v>2946</v>
      </c>
      <c r="B2" s="3081" t="e">
        <f ca="1">SUMIF(B7:B14,"&lt;&gt;#ref!",B7:B14)</f>
        <v>#DIV/0!</v>
      </c>
      <c r="C2" s="3080" t="s">
        <v>2947</v>
      </c>
      <c r="D2" s="3079"/>
      <c r="E2" s="3079"/>
      <c r="F2" s="3079"/>
    </row>
    <row r="3" spans="1:6" ht="14.25">
      <c r="A3" s="3080" t="s">
        <v>2979</v>
      </c>
      <c r="B3" s="3081" t="e">
        <f ca="1">ROUND(B2*10000/E3,0)</f>
        <v>#DIV/0!</v>
      </c>
      <c r="C3" s="3080" t="s">
        <v>2079</v>
      </c>
      <c r="D3" s="3080" t="s">
        <v>2948</v>
      </c>
      <c r="E3" s="3081">
        <f ca="1">SUMIF(E7:E14,"&lt;&gt;#ref!",E7:E14)</f>
        <v>0</v>
      </c>
      <c r="F3" s="3079"/>
    </row>
    <row r="4" spans="1:6" ht="14.25">
      <c r="A4" s="3080" t="s">
        <v>2955</v>
      </c>
      <c r="B4" s="3081" t="e">
        <f ca="1">ROUND(B2*10000/E4,0)</f>
        <v>#DIV/0!</v>
      </c>
      <c r="C4" s="3080" t="s">
        <v>2079</v>
      </c>
      <c r="D4" s="3080" t="s">
        <v>2956</v>
      </c>
      <c r="E4" s="3081">
        <f ca="1">SUMIF(F7:F14,"&lt;&gt;#ref!",F7:F14)</f>
        <v>0</v>
      </c>
      <c r="F4" s="3079"/>
    </row>
    <row r="5" spans="1:6" ht="14.25">
      <c r="A5" s="3082"/>
      <c r="B5" s="1882"/>
      <c r="C5" s="1882"/>
      <c r="D5" s="1882"/>
      <c r="E5" s="1882"/>
      <c r="F5" s="3079"/>
    </row>
    <row r="6" spans="1:6" ht="28.5">
      <c r="A6" s="3083" t="s">
        <v>2952</v>
      </c>
      <c r="B6" s="3080" t="s">
        <v>2949</v>
      </c>
      <c r="C6" s="3081"/>
      <c r="D6" s="1882"/>
      <c r="E6" s="3080" t="s">
        <v>2950</v>
      </c>
      <c r="F6" s="3080" t="s">
        <v>2954</v>
      </c>
    </row>
    <row r="7" spans="1:6" ht="14.25">
      <c r="A7" s="260" t="s">
        <v>2953</v>
      </c>
      <c r="B7" s="3084" t="e">
        <f ca="1">SUMIF(INDIRECT("'"&amp;A7&amp;"'"&amp;"!A:A"),"总价",INDIRECT("'"&amp;A7&amp;"'"&amp;"!B:B"))</f>
        <v>#DIV/0!</v>
      </c>
      <c r="C7" s="3080" t="s">
        <v>2947</v>
      </c>
      <c r="D7" s="1882"/>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2947</v>
      </c>
      <c r="D8" s="1882"/>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2947</v>
      </c>
      <c r="D9" s="1882"/>
      <c r="E9" s="3085" t="e">
        <f t="shared" ca="1" si="1"/>
        <v>#REF!</v>
      </c>
      <c r="F9" s="3085" t="e">
        <f t="shared" ca="1" si="2"/>
        <v>#REF!</v>
      </c>
    </row>
    <row r="10" spans="1:6" ht="14.25">
      <c r="A10" s="260"/>
      <c r="B10" s="3084" t="e">
        <f t="shared" ca="1" si="0"/>
        <v>#REF!</v>
      </c>
      <c r="C10" s="3080" t="s">
        <v>2947</v>
      </c>
      <c r="D10" s="1882"/>
      <c r="E10" s="3085" t="e">
        <f t="shared" ca="1" si="1"/>
        <v>#REF!</v>
      </c>
      <c r="F10" s="3085" t="e">
        <f t="shared" ca="1" si="2"/>
        <v>#REF!</v>
      </c>
    </row>
    <row r="11" spans="1:6" ht="14.25">
      <c r="A11" s="260"/>
      <c r="B11" s="3084" t="e">
        <f t="shared" ca="1" si="0"/>
        <v>#REF!</v>
      </c>
      <c r="C11" s="3080" t="s">
        <v>2947</v>
      </c>
      <c r="D11" s="1882"/>
      <c r="E11" s="3085" t="e">
        <f t="shared" ca="1" si="1"/>
        <v>#REF!</v>
      </c>
      <c r="F11" s="3085" t="e">
        <f t="shared" ca="1" si="2"/>
        <v>#REF!</v>
      </c>
    </row>
    <row r="12" spans="1:6" ht="14.25">
      <c r="A12" s="260"/>
      <c r="B12" s="3084" t="e">
        <f t="shared" ca="1" si="0"/>
        <v>#REF!</v>
      </c>
      <c r="C12" s="3080" t="s">
        <v>2947</v>
      </c>
      <c r="D12" s="1882"/>
      <c r="E12" s="3085" t="e">
        <f t="shared" ca="1" si="1"/>
        <v>#REF!</v>
      </c>
      <c r="F12" s="3085" t="e">
        <f t="shared" ca="1" si="2"/>
        <v>#REF!</v>
      </c>
    </row>
    <row r="13" spans="1:6" ht="14.25">
      <c r="A13" s="260"/>
      <c r="B13" s="3084" t="e">
        <f t="shared" ca="1" si="0"/>
        <v>#REF!</v>
      </c>
      <c r="C13" s="3080" t="s">
        <v>2947</v>
      </c>
      <c r="D13" s="1882"/>
      <c r="E13" s="3085" t="e">
        <f t="shared" ca="1" si="1"/>
        <v>#REF!</v>
      </c>
      <c r="F13" s="3085" t="e">
        <f t="shared" ca="1" si="2"/>
        <v>#REF!</v>
      </c>
    </row>
    <row r="14" spans="1:6" ht="14.25">
      <c r="A14" s="3078"/>
      <c r="B14" s="3084" t="e">
        <f t="shared" ca="1" si="0"/>
        <v>#REF!</v>
      </c>
      <c r="C14" s="3080" t="s">
        <v>2947</v>
      </c>
      <c r="D14" s="1882"/>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56.25">
      <c r="A7" s="1796" t="s">
        <v>2747</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2019年4月9日（评估专业人员勘察现场之日）</v>
      </c>
    </row>
    <row r="12" spans="1:4" ht="18.75">
      <c r="A12" s="1798" t="s">
        <v>2026</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48" sqref="J48"/>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58" t="s">
        <v>2463</v>
      </c>
      <c r="C8" s="1826">
        <f ca="1">ROUND(F8*F10*F9*(1-F11)/10000,0)</f>
        <v>0</v>
      </c>
      <c r="D8" s="1823" t="s">
        <v>2534</v>
      </c>
      <c r="E8" s="61" t="s">
        <v>637</v>
      </c>
      <c r="F8" s="785">
        <f ca="1">INDIRECT("'数据-取费表'!u"&amp;$G$1)</f>
        <v>0</v>
      </c>
      <c r="G8" s="1593"/>
      <c r="H8" s="2484" t="s">
        <v>1825</v>
      </c>
      <c r="I8" s="3458" t="s">
        <v>2463</v>
      </c>
      <c r="J8" s="783">
        <f ca="1">ROUND(M8*M10*M9*(1-M11)/10000,0)</f>
        <v>0</v>
      </c>
      <c r="K8" s="341" t="s">
        <v>2534</v>
      </c>
      <c r="L8" s="784" t="s">
        <v>1739</v>
      </c>
      <c r="M8" s="785">
        <f ca="1">INDIRECT("'数据-取费表'!z"&amp;$G$1)</f>
        <v>0</v>
      </c>
    </row>
    <row r="9" spans="1:25" ht="18" customHeight="1">
      <c r="A9" s="2480"/>
      <c r="B9" s="3459"/>
      <c r="C9" s="1827"/>
      <c r="D9" s="1824"/>
      <c r="E9" s="61" t="s">
        <v>638</v>
      </c>
      <c r="F9" s="785">
        <f ca="1">IF(INDIRECT("'数据-取费表'!ah"&amp;$G$1)="",INDIRECT("'数据-取费表'!k"&amp;$G$1),INDIRECT("'数据-取费表'!ah"&amp;$G$1))</f>
        <v>0</v>
      </c>
      <c r="G9" s="1593"/>
      <c r="H9" s="2469"/>
      <c r="I9" s="3459"/>
      <c r="J9" s="788"/>
      <c r="K9" s="789"/>
      <c r="L9" s="784" t="s">
        <v>1740</v>
      </c>
      <c r="M9" s="785">
        <f ca="1">F9</f>
        <v>0</v>
      </c>
    </row>
    <row r="10" spans="1:25" ht="18" customHeight="1">
      <c r="A10" s="2473"/>
      <c r="B10" s="3460"/>
      <c r="C10" s="1827"/>
      <c r="D10" s="1824"/>
      <c r="E10" s="61" t="s">
        <v>639</v>
      </c>
      <c r="F10" s="785">
        <f ca="1">INDIRECT("'数据-取费表'!ai"&amp;$G$1)</f>
        <v>0</v>
      </c>
      <c r="G10" s="1593"/>
      <c r="H10" s="2469"/>
      <c r="I10" s="3460"/>
      <c r="J10" s="788"/>
      <c r="K10" s="789"/>
      <c r="L10" s="784" t="s">
        <v>1741</v>
      </c>
      <c r="M10" s="785">
        <f ca="1">INDIRECT("'数据-取费表'!ai"&amp;$G$1)</f>
        <v>0</v>
      </c>
    </row>
    <row r="11" spans="1:25" ht="18" customHeight="1">
      <c r="A11" s="786"/>
      <c r="B11" s="3461"/>
      <c r="C11" s="1827"/>
      <c r="D11" s="1824"/>
      <c r="E11" s="61" t="s">
        <v>640</v>
      </c>
      <c r="F11" s="794">
        <f ca="1">INDIRECT("'数据-取费表'!w"&amp;$G$1)</f>
        <v>0</v>
      </c>
      <c r="G11" s="1593"/>
      <c r="H11" s="2485"/>
      <c r="I11" s="3460"/>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2976</v>
      </c>
      <c r="E12" s="2478" t="s">
        <v>2464</v>
      </c>
      <c r="F12" s="2601"/>
      <c r="G12" s="1593"/>
      <c r="H12" s="2541" t="s">
        <v>1826</v>
      </c>
      <c r="I12" s="2546" t="s">
        <v>2459</v>
      </c>
      <c r="J12" s="783">
        <f ca="1">ROUND(IF(M12="押一",J8/12*M13,IF(M12="押二",J8/12*2*M13,IF(M12="押三",J8/12*3*M13,J13*M13))),0)</f>
        <v>0</v>
      </c>
      <c r="K12" s="2481" t="s">
        <v>2976</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2.5000000000000001E-2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12</v>
      </c>
      <c r="G36" s="2063"/>
      <c r="H36" s="2066"/>
      <c r="I36" s="3457"/>
      <c r="J36" s="2080"/>
      <c r="K36" s="2081"/>
      <c r="L36" s="2080"/>
      <c r="M36" s="2080"/>
    </row>
    <row r="37" spans="1:18" ht="18" customHeight="1">
      <c r="A37" s="815"/>
      <c r="B37" s="793"/>
      <c r="C37" s="69"/>
      <c r="D37" s="816"/>
      <c r="E37" s="784" t="s">
        <v>674</v>
      </c>
      <c r="F37" s="785">
        <f ca="1">INDIRECT("'数据-取费表'!r"&amp;$G$1)</f>
        <v>0</v>
      </c>
      <c r="G37" s="2063"/>
      <c r="H37" s="2066"/>
      <c r="I37" s="345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6" t="s">
        <v>2964</v>
      </c>
      <c r="F43" s="3097">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1">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1" t="str">
        <f ca="1">IF(M48="住宅",0,IF(L49&gt;J52,L61,J61))</f>
        <v>0</v>
      </c>
      <c r="O47" s="2374" t="s">
        <v>2411</v>
      </c>
      <c r="P47" s="1593"/>
      <c r="Q47" s="1605"/>
      <c r="R47" s="1593"/>
    </row>
    <row r="48" spans="1:18" s="2060" customFormat="1" ht="18" customHeight="1" thickBot="1">
      <c r="A48" s="2085"/>
      <c r="C48" s="2088"/>
      <c r="D48" s="2089"/>
      <c r="E48" s="2089"/>
      <c r="F48" s="2090"/>
      <c r="G48" s="2091"/>
      <c r="I48" s="3121" t="s">
        <v>2345</v>
      </c>
      <c r="J48" s="2361"/>
      <c r="K48" s="3128" t="s">
        <v>2350</v>
      </c>
      <c r="L48" s="3132">
        <f ca="1">INDIRECT("'数据-取费表'!d"&amp;$G$1)</f>
        <v>0</v>
      </c>
      <c r="M48" s="3095"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0" t="s">
        <v>2346</v>
      </c>
      <c r="J49" s="2362"/>
      <c r="K49" s="3129"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0" t="s">
        <v>2347</v>
      </c>
      <c r="J50" s="2363"/>
      <c r="K50" s="3130"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0" t="s">
        <v>2348</v>
      </c>
      <c r="J51" s="3125">
        <f>SUMPRODUCT((I64:I66=J48)*(J63:L63=J49)*(J64:L66))</f>
        <v>0</v>
      </c>
      <c r="K51" s="3130" t="s">
        <v>2354</v>
      </c>
      <c r="L51" s="2364"/>
      <c r="O51" s="2381" t="s">
        <v>2384</v>
      </c>
      <c r="P51" s="2379" t="s">
        <v>2408</v>
      </c>
      <c r="Q51" s="2380">
        <f ca="1">C31</f>
        <v>0</v>
      </c>
      <c r="R51" s="2379" t="s">
        <v>2381</v>
      </c>
    </row>
    <row r="52" spans="1:18" s="2060" customFormat="1" ht="18" customHeight="1" thickBot="1">
      <c r="A52" s="2097"/>
      <c r="F52" s="2086"/>
      <c r="I52" s="3122" t="s">
        <v>2349</v>
      </c>
      <c r="J52" s="3126">
        <f>IF(J50="",J51,J50+J51-YEAR('数据-取费表'!B3))</f>
        <v>0</v>
      </c>
      <c r="K52" s="3100" t="s">
        <v>2355</v>
      </c>
      <c r="L52" s="3133">
        <f ca="1">ROUND(-PV(INDIRECT("'数据-取费表'!h"&amp;$G$1),L49,(C40-C14*J36),0),0)</f>
        <v>0</v>
      </c>
      <c r="O52" s="2381" t="s">
        <v>2385</v>
      </c>
      <c r="P52" s="2379" t="s">
        <v>2386</v>
      </c>
      <c r="Q52" s="2382" t="e">
        <f ca="1">J59</f>
        <v>#VALUE!</v>
      </c>
      <c r="R52" s="2383"/>
    </row>
    <row r="53" spans="1:18" s="2060" customFormat="1" ht="18" customHeight="1" thickBot="1">
      <c r="A53" s="2097"/>
      <c r="F53" s="2086"/>
      <c r="I53" s="3123" t="s">
        <v>2422</v>
      </c>
      <c r="J53" s="2365"/>
      <c r="K53" s="3123" t="s">
        <v>2421</v>
      </c>
      <c r="L53" s="2365"/>
      <c r="O53" s="2381" t="s">
        <v>2387</v>
      </c>
      <c r="P53" s="2379" t="s">
        <v>2388</v>
      </c>
      <c r="Q53" s="2382">
        <f>J53</f>
        <v>0</v>
      </c>
      <c r="R53" s="2383"/>
    </row>
    <row r="54" spans="1:18" s="2060" customFormat="1" ht="29.25" thickBot="1">
      <c r="A54" s="2097"/>
      <c r="I54" s="3124" t="s">
        <v>2980</v>
      </c>
      <c r="J54" s="3127">
        <f ca="1">IF(M48="住宅",MAX(J52,L49-'数据-取费表'!B20),MIN(J52,L49-'数据-取费表'!B20))</f>
        <v>-2</v>
      </c>
      <c r="K54" s="3462"/>
      <c r="L54" s="3463"/>
      <c r="O54" s="2381" t="s">
        <v>2389</v>
      </c>
      <c r="P54" s="2379" t="s">
        <v>2390</v>
      </c>
      <c r="Q54" s="2380">
        <f ca="1">J54</f>
        <v>-2</v>
      </c>
      <c r="R54" s="2379" t="s">
        <v>2391</v>
      </c>
    </row>
    <row r="55" spans="1:18" s="2060" customFormat="1" ht="18" customHeight="1" thickBot="1">
      <c r="A55" s="2097"/>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8" t="s">
        <v>2392</v>
      </c>
      <c r="P55" s="2379" t="s">
        <v>2409</v>
      </c>
      <c r="Q55" s="2380">
        <f ca="1">Q49+Q50</f>
        <v>0</v>
      </c>
      <c r="R55" s="2383" t="s">
        <v>2393</v>
      </c>
    </row>
    <row r="56" spans="1:18" s="2060" customFormat="1" ht="16.5" thickBot="1">
      <c r="A56" s="2097"/>
      <c r="B56" s="2098"/>
      <c r="C56" s="2098"/>
      <c r="I56" s="3136" t="s">
        <v>2356</v>
      </c>
      <c r="J56" s="3075" t="e">
        <f ca="1">ROUND(IF(J48="钢混",J58/J51,1-(1-2%)*(J51-J58)/J51),3)</f>
        <v>#VALUE!</v>
      </c>
      <c r="K56" s="3137" t="s">
        <v>2357</v>
      </c>
      <c r="L56" s="2366"/>
      <c r="O56" s="2384" t="s">
        <v>2412</v>
      </c>
      <c r="P56" s="1593"/>
      <c r="Q56" s="1605"/>
      <c r="R56" s="1593"/>
    </row>
    <row r="57" spans="1:18" s="2060" customFormat="1" ht="43.5" thickBot="1">
      <c r="A57" s="2097"/>
      <c r="B57" s="2098"/>
      <c r="C57" s="2098"/>
      <c r="I57" s="3138" t="s">
        <v>2358</v>
      </c>
      <c r="J57" s="3148" t="s">
        <v>1679</v>
      </c>
      <c r="K57" s="3100" t="s">
        <v>2363</v>
      </c>
      <c r="L57" s="1909">
        <f ca="1">IF(L49&lt;J52,"——",L49-J52)</f>
        <v>0</v>
      </c>
      <c r="O57" s="2375" t="s">
        <v>2376</v>
      </c>
      <c r="P57" s="2376" t="s">
        <v>2377</v>
      </c>
      <c r="Q57" s="2377" t="s">
        <v>2378</v>
      </c>
      <c r="R57" s="2376" t="s">
        <v>2379</v>
      </c>
    </row>
    <row r="58" spans="1:18" s="2060" customFormat="1" ht="29.25" thickBot="1">
      <c r="A58" s="2097"/>
      <c r="B58" s="2098"/>
      <c r="C58" s="2098"/>
      <c r="I58" s="3139" t="s">
        <v>2359</v>
      </c>
      <c r="J58" s="3140" t="str">
        <f ca="1">IF(OR(M48="住宅",J52&lt;L49,J57="是"),"——",J52-L49)</f>
        <v>——</v>
      </c>
      <c r="K58" s="3100"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39" t="s">
        <v>2360</v>
      </c>
      <c r="J59" s="3076" t="e">
        <f ca="1">IF(J56&lt;0.4,0.4,J56)</f>
        <v>#VALUE!</v>
      </c>
      <c r="K59" s="3100"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39" t="s">
        <v>2361</v>
      </c>
      <c r="J60" s="3140" t="str">
        <f ca="1">IF(OR(M48="住宅",J52&lt;L49,J57="是"),"——",ROUND(C30*J59,0))</f>
        <v>——</v>
      </c>
      <c r="K60" s="3100"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1" t="s">
        <v>2362</v>
      </c>
      <c r="J61" s="3142" t="str">
        <f ca="1">IF(OR(M48="住宅",J52&lt;L49,J57="是"),"0",ROUND(J60/(1+J53)^J54,0))</f>
        <v>0</v>
      </c>
      <c r="K61" s="3143" t="s">
        <v>2367</v>
      </c>
      <c r="L61" s="3142"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4" t="s">
        <v>2368</v>
      </c>
      <c r="J63" s="3145" t="s">
        <v>2369</v>
      </c>
      <c r="K63" s="3145" t="s">
        <v>2370</v>
      </c>
      <c r="L63" s="3145" t="s">
        <v>2351</v>
      </c>
      <c r="M63" s="3146" t="s">
        <v>2944</v>
      </c>
      <c r="O63" s="2381" t="s">
        <v>2389</v>
      </c>
      <c r="P63" s="2379" t="s">
        <v>2397</v>
      </c>
      <c r="Q63" s="2380">
        <f ca="1">L60</f>
        <v>0</v>
      </c>
      <c r="R63" s="2383" t="s">
        <v>2398</v>
      </c>
    </row>
    <row r="64" spans="1:18" s="2060" customFormat="1" ht="15.75" thickBot="1">
      <c r="A64" s="2097"/>
      <c r="B64" s="2098"/>
      <c r="C64" s="2098"/>
      <c r="I64" s="3144" t="s">
        <v>2371</v>
      </c>
      <c r="J64" s="3145">
        <v>70</v>
      </c>
      <c r="K64" s="3145">
        <v>50</v>
      </c>
      <c r="L64" s="3145">
        <v>80</v>
      </c>
      <c r="M64" s="3147">
        <v>0.02</v>
      </c>
      <c r="O64" s="2378" t="s">
        <v>2392</v>
      </c>
      <c r="P64" s="2379" t="s">
        <v>2409</v>
      </c>
      <c r="Q64" s="2380" t="e">
        <f ca="1">Q58+Q59</f>
        <v>#DIV/0!</v>
      </c>
      <c r="R64" s="2383" t="s">
        <v>2393</v>
      </c>
    </row>
    <row r="65" spans="1:18" s="2060" customFormat="1" ht="16.5" thickBot="1">
      <c r="A65" s="2097"/>
      <c r="B65" s="2098"/>
      <c r="C65" s="2098"/>
      <c r="I65" s="3144" t="s">
        <v>2372</v>
      </c>
      <c r="J65" s="3145">
        <v>50</v>
      </c>
      <c r="K65" s="3145">
        <v>35</v>
      </c>
      <c r="L65" s="3145">
        <v>60</v>
      </c>
      <c r="M65" s="846">
        <v>0</v>
      </c>
      <c r="O65" s="2384" t="s">
        <v>2416</v>
      </c>
      <c r="P65" s="1593"/>
      <c r="Q65" s="1605"/>
      <c r="R65" s="1593"/>
    </row>
    <row r="66" spans="1:18" s="2060" customFormat="1" ht="15.75" thickBot="1">
      <c r="A66" s="2097"/>
      <c r="B66" s="2098"/>
      <c r="C66" s="2098"/>
      <c r="I66" s="3144" t="s">
        <v>2373</v>
      </c>
      <c r="J66" s="3145">
        <v>40</v>
      </c>
      <c r="K66" s="3145">
        <v>30</v>
      </c>
      <c r="L66" s="3145">
        <v>50</v>
      </c>
      <c r="M66" s="3147">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6" t="s">
        <v>2576</v>
      </c>
      <c r="C1" s="3466"/>
      <c r="D1" s="3466"/>
      <c r="E1" s="3466"/>
      <c r="F1" s="3466"/>
      <c r="G1" s="3465" t="s">
        <v>2577</v>
      </c>
      <c r="H1" s="3465"/>
      <c r="I1" s="3465"/>
      <c r="J1" s="3465"/>
      <c r="K1" s="3465"/>
      <c r="L1" s="3465"/>
      <c r="N1" s="3465" t="s">
        <v>2578</v>
      </c>
      <c r="O1" s="3465"/>
      <c r="P1" s="3465"/>
      <c r="Q1" s="3465"/>
      <c r="R1" s="2634"/>
      <c r="S1" s="3465" t="s">
        <v>2579</v>
      </c>
      <c r="T1" s="3465"/>
      <c r="U1" s="3465"/>
      <c r="V1" s="3465"/>
      <c r="X1" s="3464" t="s">
        <v>2639</v>
      </c>
      <c r="Y1" s="3465"/>
      <c r="Z1" s="3465"/>
      <c r="AA1" s="3465"/>
      <c r="AB1" s="3465"/>
      <c r="AD1" s="3464" t="s">
        <v>2643</v>
      </c>
      <c r="AE1" s="3465"/>
      <c r="AF1" s="3465"/>
      <c r="AG1" s="3465"/>
      <c r="AH1" s="3465"/>
    </row>
    <row r="2" spans="1:34" s="2735" customFormat="1" ht="14.25" thickBot="1">
      <c r="B2" s="2743" t="s">
        <v>2580</v>
      </c>
      <c r="C2" s="2743" t="s">
        <v>2641</v>
      </c>
      <c r="D2" s="2736" t="s">
        <v>1645</v>
      </c>
      <c r="E2" s="2736" t="s">
        <v>1950</v>
      </c>
      <c r="F2" s="2743" t="s">
        <v>2642</v>
      </c>
      <c r="G2" s="2739"/>
      <c r="H2" s="2738"/>
      <c r="I2" s="2743" t="s">
        <v>2958</v>
      </c>
      <c r="J2" s="2736" t="s">
        <v>2960</v>
      </c>
      <c r="K2" s="2736" t="s">
        <v>2961</v>
      </c>
      <c r="L2" s="2743" t="s">
        <v>2962</v>
      </c>
      <c r="N2" s="2743" t="s">
        <v>2580</v>
      </c>
      <c r="O2" s="2736" t="s">
        <v>2959</v>
      </c>
      <c r="P2" s="2736" t="s">
        <v>1950</v>
      </c>
      <c r="Q2" s="2743" t="s">
        <v>2642</v>
      </c>
      <c r="R2" s="2737"/>
      <c r="S2" s="2743" t="s">
        <v>2580</v>
      </c>
      <c r="T2" s="2736" t="s">
        <v>2959</v>
      </c>
      <c r="U2" s="2736" t="s">
        <v>1950</v>
      </c>
      <c r="V2" s="2743" t="s">
        <v>2642</v>
      </c>
      <c r="X2" s="2743" t="s">
        <v>2580</v>
      </c>
      <c r="Y2" s="2743" t="s">
        <v>2641</v>
      </c>
      <c r="Z2" s="2736" t="s">
        <v>1645</v>
      </c>
      <c r="AA2" s="2736" t="s">
        <v>1950</v>
      </c>
      <c r="AB2" s="2743" t="s">
        <v>2642</v>
      </c>
      <c r="AD2" s="2743" t="s">
        <v>2580</v>
      </c>
      <c r="AE2" s="2743" t="s">
        <v>2641</v>
      </c>
      <c r="AF2" s="2736" t="s">
        <v>1645</v>
      </c>
      <c r="AG2" s="2736" t="s">
        <v>1950</v>
      </c>
      <c r="AH2" s="2743" t="s">
        <v>2642</v>
      </c>
    </row>
    <row r="3" spans="1:34" s="3105" customFormat="1" ht="14.25">
      <c r="A3" s="3117" t="s">
        <v>2971</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8" customFormat="1" ht="14.25">
      <c r="B4" s="2729"/>
      <c r="C4" s="2729"/>
      <c r="D4" s="2730"/>
      <c r="E4" s="2730"/>
      <c r="F4" s="2729"/>
      <c r="G4" s="2734"/>
      <c r="H4" s="2731"/>
      <c r="I4" s="3101"/>
      <c r="J4" s="3101"/>
      <c r="K4" s="3101"/>
      <c r="L4" s="3101"/>
      <c r="N4" s="2734"/>
      <c r="O4" s="2732"/>
      <c r="P4" s="2732"/>
      <c r="Q4" s="2732"/>
      <c r="R4" s="2732"/>
      <c r="S4" s="2734"/>
      <c r="T4" s="2732"/>
      <c r="U4" s="2732"/>
      <c r="V4" s="2732"/>
      <c r="W4" s="3114"/>
      <c r="X4" s="2733"/>
      <c r="Y4" s="2733"/>
      <c r="Z4" s="2733"/>
      <c r="AA4" s="2733"/>
      <c r="AB4" s="2733"/>
      <c r="AD4" s="2653"/>
      <c r="AE4" s="2653"/>
      <c r="AF4" s="2653"/>
      <c r="AG4" s="2653"/>
      <c r="AH4" s="2653"/>
    </row>
    <row r="5" spans="1:34" s="3089" customFormat="1" ht="13.5" thickBot="1">
      <c r="A5" s="3087"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88">
        <v>1</v>
      </c>
      <c r="I5" s="3102">
        <v>0</v>
      </c>
      <c r="J5" s="3102">
        <v>0</v>
      </c>
      <c r="K5" s="3102">
        <v>0</v>
      </c>
      <c r="L5" s="3102">
        <v>0</v>
      </c>
      <c r="N5" s="2741">
        <f t="shared" ref="N5" si="6">I5/100</f>
        <v>0</v>
      </c>
      <c r="O5" s="2741">
        <f t="shared" ref="O5" si="7">J5/100</f>
        <v>0</v>
      </c>
      <c r="P5" s="2741">
        <f t="shared" ref="P5" si="8">K5/100</f>
        <v>0</v>
      </c>
      <c r="Q5" s="2741">
        <f t="shared" ref="Q5" si="9">L5/100</f>
        <v>0</v>
      </c>
      <c r="R5" s="3090"/>
      <c r="S5" s="3091"/>
      <c r="T5" s="3090"/>
      <c r="U5" s="3090"/>
      <c r="V5" s="3090"/>
      <c r="W5" s="3115" t="s">
        <v>2972</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8">
        <v>2018</v>
      </c>
      <c r="H6" s="2638">
        <v>4</v>
      </c>
      <c r="I6" s="3180">
        <v>0.96</v>
      </c>
      <c r="J6" s="3180">
        <v>1.03</v>
      </c>
      <c r="K6" s="3180">
        <v>0.92</v>
      </c>
      <c r="L6" s="3181">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8"/>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8"/>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74"/>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19">
        <v>439</v>
      </c>
      <c r="C10" s="3119">
        <v>327</v>
      </c>
      <c r="D10" s="3119">
        <f t="shared" si="43"/>
        <v>327</v>
      </c>
      <c r="E10" s="3119">
        <v>627</v>
      </c>
      <c r="F10" s="3120">
        <v>283</v>
      </c>
      <c r="G10" s="3473">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8"/>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2581</v>
      </c>
      <c r="B12" s="2648">
        <f t="shared" si="55"/>
        <v>419.31181600000002</v>
      </c>
      <c r="C12" s="2648">
        <f t="shared" si="55"/>
        <v>313.95436800000004</v>
      </c>
      <c r="D12" s="2648">
        <f t="shared" si="43"/>
        <v>313.95436800000004</v>
      </c>
      <c r="E12" s="2648">
        <f t="shared" si="56"/>
        <v>596.63028431999999</v>
      </c>
      <c r="F12" s="2648">
        <f t="shared" si="56"/>
        <v>274.74220703999998</v>
      </c>
      <c r="G12" s="3468"/>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2582</v>
      </c>
      <c r="B13" s="2648">
        <f t="shared" si="55"/>
        <v>405.524</v>
      </c>
      <c r="C13" s="2648">
        <f t="shared" si="55"/>
        <v>307.79840000000002</v>
      </c>
      <c r="D13" s="2648">
        <f t="shared" si="43"/>
        <v>307.79840000000002</v>
      </c>
      <c r="E13" s="2648">
        <f t="shared" si="56"/>
        <v>574.67759999999998</v>
      </c>
      <c r="F13" s="2648">
        <f t="shared" si="56"/>
        <v>270.20280000000002</v>
      </c>
      <c r="G13" s="3474"/>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73">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8"/>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8"/>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9"/>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7">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8"/>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8"/>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9"/>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7">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8"/>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8"/>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9"/>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2640</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2583</v>
      </c>
      <c r="B26" s="2640">
        <v>299</v>
      </c>
      <c r="C26" s="2640">
        <v>252</v>
      </c>
      <c r="D26" s="2640">
        <f t="shared" si="65"/>
        <v>252</v>
      </c>
      <c r="E26" s="2640">
        <v>409</v>
      </c>
      <c r="F26" s="2641">
        <v>227</v>
      </c>
      <c r="G26" s="3470">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2584</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71"/>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2585</v>
      </c>
      <c r="B28" s="2648">
        <f t="shared" si="74"/>
        <v>288.2649053828776</v>
      </c>
      <c r="C28" s="2648">
        <f t="shared" si="74"/>
        <v>243.64564425013293</v>
      </c>
      <c r="D28" s="2648">
        <f t="shared" si="65"/>
        <v>243.64564425013293</v>
      </c>
      <c r="E28" s="2648">
        <f t="shared" si="75"/>
        <v>393.31080825986544</v>
      </c>
      <c r="F28" s="2648">
        <f t="shared" si="75"/>
        <v>223.07903790551154</v>
      </c>
      <c r="G28" s="3471"/>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2586</v>
      </c>
      <c r="B29" s="2648">
        <f t="shared" si="74"/>
        <v>282.50186729015837</v>
      </c>
      <c r="C29" s="2648">
        <f t="shared" si="74"/>
        <v>238.09796174155468</v>
      </c>
      <c r="D29" s="2648">
        <f t="shared" si="65"/>
        <v>238.09796174155468</v>
      </c>
      <c r="E29" s="2648">
        <f t="shared" si="75"/>
        <v>385.33438646014054</v>
      </c>
      <c r="F29" s="2648">
        <f t="shared" si="75"/>
        <v>221.55034055567739</v>
      </c>
      <c r="G29" s="3472"/>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2587</v>
      </c>
      <c r="B30" s="2678">
        <v>278</v>
      </c>
      <c r="C30" s="2678">
        <v>234</v>
      </c>
      <c r="D30" s="2678">
        <f t="shared" si="65"/>
        <v>234</v>
      </c>
      <c r="E30" s="2678">
        <v>379</v>
      </c>
      <c r="F30" s="2679">
        <v>220</v>
      </c>
      <c r="G30" s="3467">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2588</v>
      </c>
      <c r="B31" s="2648">
        <f>B30/(1+N30)</f>
        <v>275.49301357645425</v>
      </c>
      <c r="C31" s="2648">
        <f>C30/(1+O30)</f>
        <v>232.41954707985698</v>
      </c>
      <c r="D31" s="2648">
        <f t="shared" si="65"/>
        <v>232.41954707985698</v>
      </c>
      <c r="E31" s="2648">
        <f t="shared" ref="E31:F33" si="76">E30/(1+P30)</f>
        <v>375.32184591008121</v>
      </c>
      <c r="F31" s="2648">
        <f t="shared" si="76"/>
        <v>218.03766105054513</v>
      </c>
      <c r="G31" s="3468"/>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2589</v>
      </c>
      <c r="B32" s="2648">
        <f>B31/(1+N31)</f>
        <v>275.24529281292263</v>
      </c>
      <c r="C32" s="2648">
        <f>C31/(1+O31)</f>
        <v>231.74747938962707</v>
      </c>
      <c r="D32" s="2648">
        <f t="shared" si="65"/>
        <v>231.74747938962707</v>
      </c>
      <c r="E32" s="2648">
        <f t="shared" si="76"/>
        <v>375.35938184826603</v>
      </c>
      <c r="F32" s="2648">
        <f t="shared" si="76"/>
        <v>216.78033510692495</v>
      </c>
      <c r="G32" s="3468"/>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2590</v>
      </c>
      <c r="B33" s="2648">
        <f>B32/(1+N32)</f>
        <v>275.19025476197027</v>
      </c>
      <c r="C33" s="2680">
        <v>232</v>
      </c>
      <c r="D33" s="2680">
        <f t="shared" si="65"/>
        <v>232</v>
      </c>
      <c r="E33" s="2648">
        <f t="shared" si="76"/>
        <v>375.65990977608692</v>
      </c>
      <c r="F33" s="2648">
        <f t="shared" si="76"/>
        <v>214.12518283971252</v>
      </c>
      <c r="G33" s="3469"/>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2591</v>
      </c>
      <c r="B34" s="2640">
        <v>275</v>
      </c>
      <c r="C34" s="2640">
        <v>232</v>
      </c>
      <c r="D34" s="2640">
        <f t="shared" si="65"/>
        <v>232</v>
      </c>
      <c r="E34" s="2640">
        <v>376</v>
      </c>
      <c r="F34" s="2641">
        <v>213</v>
      </c>
      <c r="G34" s="3467">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2592</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8">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2593</v>
      </c>
      <c r="B36" s="2648">
        <f t="shared" si="77"/>
        <v>275.19335084830601</v>
      </c>
      <c r="C36" s="2648">
        <f t="shared" si="77"/>
        <v>230.18088050139744</v>
      </c>
      <c r="D36" s="2648">
        <f t="shared" si="65"/>
        <v>230.18088050139744</v>
      </c>
      <c r="E36" s="2648">
        <f t="shared" si="78"/>
        <v>377.58482925212331</v>
      </c>
      <c r="F36" s="2648">
        <f t="shared" si="78"/>
        <v>210.90687997847917</v>
      </c>
      <c r="G36" s="3468">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2594</v>
      </c>
      <c r="B37" s="2648">
        <f t="shared" si="77"/>
        <v>276.29854502841971</v>
      </c>
      <c r="C37" s="2648">
        <f t="shared" si="77"/>
        <v>229.79023709833027</v>
      </c>
      <c r="D37" s="2648">
        <f t="shared" si="65"/>
        <v>229.79023709833027</v>
      </c>
      <c r="E37" s="2648">
        <f t="shared" si="78"/>
        <v>379.78759731655936</v>
      </c>
      <c r="F37" s="2648">
        <f t="shared" si="78"/>
        <v>211.32953905659235</v>
      </c>
      <c r="G37" s="3469">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2595</v>
      </c>
      <c r="B38" s="2640">
        <v>269</v>
      </c>
      <c r="C38" s="2640">
        <v>221</v>
      </c>
      <c r="D38" s="2640">
        <f t="shared" si="65"/>
        <v>221</v>
      </c>
      <c r="E38" s="2640">
        <v>373</v>
      </c>
      <c r="F38" s="2641">
        <v>196</v>
      </c>
      <c r="G38" s="3467">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2596</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8">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2597</v>
      </c>
      <c r="B40" s="2648">
        <f t="shared" si="79"/>
        <v>242.95398227588385</v>
      </c>
      <c r="C40" s="2648">
        <f t="shared" si="79"/>
        <v>199.59137053614126</v>
      </c>
      <c r="D40" s="2648">
        <f t="shared" si="65"/>
        <v>199.59137053614126</v>
      </c>
      <c r="E40" s="2648">
        <f t="shared" si="80"/>
        <v>335.92189522342125</v>
      </c>
      <c r="F40" s="2648">
        <f t="shared" si="80"/>
        <v>183.10139991109489</v>
      </c>
      <c r="G40" s="3468">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2598</v>
      </c>
      <c r="B41" s="2648">
        <f t="shared" si="79"/>
        <v>232.06990378821649</v>
      </c>
      <c r="C41" s="2648">
        <f t="shared" si="79"/>
        <v>192.74878854286936</v>
      </c>
      <c r="D41" s="2648">
        <f t="shared" si="65"/>
        <v>192.74878854286936</v>
      </c>
      <c r="E41" s="2648">
        <f t="shared" si="80"/>
        <v>319.71247284992984</v>
      </c>
      <c r="F41" s="2648">
        <f t="shared" si="80"/>
        <v>175.67053622862409</v>
      </c>
      <c r="G41" s="3469">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2599</v>
      </c>
      <c r="B42" s="2640">
        <v>220</v>
      </c>
      <c r="C42" s="2640">
        <v>187</v>
      </c>
      <c r="D42" s="2640">
        <f t="shared" si="65"/>
        <v>187</v>
      </c>
      <c r="E42" s="2640">
        <v>301</v>
      </c>
      <c r="F42" s="2641">
        <v>168</v>
      </c>
      <c r="G42" s="3467">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2600</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8">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2601</v>
      </c>
      <c r="B44" s="2648">
        <f t="shared" si="81"/>
        <v>210.630522469011</v>
      </c>
      <c r="C44" s="2648">
        <f t="shared" si="81"/>
        <v>181.69567812247232</v>
      </c>
      <c r="D44" s="2648">
        <f t="shared" si="65"/>
        <v>181.69567812247232</v>
      </c>
      <c r="E44" s="2648">
        <f t="shared" si="82"/>
        <v>286.13517466736738</v>
      </c>
      <c r="F44" s="2648">
        <f t="shared" si="82"/>
        <v>165.47535084591149</v>
      </c>
      <c r="G44" s="3468">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2602</v>
      </c>
      <c r="B45" s="2648">
        <f t="shared" si="81"/>
        <v>208.83454537875372</v>
      </c>
      <c r="C45" s="2648">
        <f t="shared" si="81"/>
        <v>183.77230517090351</v>
      </c>
      <c r="D45" s="2648">
        <f t="shared" si="65"/>
        <v>183.77230517090351</v>
      </c>
      <c r="E45" s="2648">
        <f t="shared" si="82"/>
        <v>281.10342338870947</v>
      </c>
      <c r="F45" s="2648">
        <f t="shared" si="82"/>
        <v>168.97309388942256</v>
      </c>
      <c r="G45" s="3469">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2603</v>
      </c>
      <c r="B46" s="2678">
        <v>214</v>
      </c>
      <c r="C46" s="2678">
        <v>188</v>
      </c>
      <c r="D46" s="2678">
        <f t="shared" si="65"/>
        <v>188</v>
      </c>
      <c r="E46" s="2678">
        <v>289</v>
      </c>
      <c r="F46" s="2679">
        <v>166</v>
      </c>
      <c r="G46" s="3467">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2604</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8">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2605</v>
      </c>
      <c r="B48" s="2648">
        <f t="shared" si="83"/>
        <v>206.31694671589116</v>
      </c>
      <c r="C48" s="2648">
        <f t="shared" si="83"/>
        <v>183.61041121036101</v>
      </c>
      <c r="D48" s="2648">
        <f t="shared" si="65"/>
        <v>183.61041121036101</v>
      </c>
      <c r="E48" s="2648">
        <f t="shared" si="84"/>
        <v>276.66850301795557</v>
      </c>
      <c r="F48" s="2648">
        <f t="shared" si="84"/>
        <v>165.1360938278614</v>
      </c>
      <c r="G48" s="3468">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2606</v>
      </c>
      <c r="B49" s="2681">
        <f t="shared" si="83"/>
        <v>196.62341248059772</v>
      </c>
      <c r="C49" s="2681">
        <f t="shared" si="83"/>
        <v>170.99125648199012</v>
      </c>
      <c r="D49" s="2681">
        <f t="shared" si="65"/>
        <v>170.99125648199012</v>
      </c>
      <c r="E49" s="2681">
        <f t="shared" si="84"/>
        <v>266.07857570490052</v>
      </c>
      <c r="F49" s="2681">
        <f t="shared" si="84"/>
        <v>154.53499328828505</v>
      </c>
      <c r="G49" s="3469">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2607</v>
      </c>
      <c r="B50" s="2640">
        <v>188</v>
      </c>
      <c r="C50" s="2640">
        <v>165</v>
      </c>
      <c r="D50" s="2640">
        <f t="shared" si="65"/>
        <v>165</v>
      </c>
      <c r="E50" s="2640">
        <v>254</v>
      </c>
      <c r="F50" s="2641">
        <v>148</v>
      </c>
      <c r="G50" s="3467">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2608</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8">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2609</v>
      </c>
      <c r="B52" s="2648">
        <f t="shared" si="87"/>
        <v>168.82017748715555</v>
      </c>
      <c r="C52" s="2648">
        <f t="shared" si="87"/>
        <v>148.06267029972753</v>
      </c>
      <c r="D52" s="2648">
        <f t="shared" si="65"/>
        <v>148.06267029972753</v>
      </c>
      <c r="E52" s="2648">
        <f t="shared" si="88"/>
        <v>216.46288379323747</v>
      </c>
      <c r="F52" s="2648">
        <f t="shared" si="88"/>
        <v>134.23529411764704</v>
      </c>
      <c r="G52" s="3468">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2610</v>
      </c>
      <c r="B53" s="2648">
        <f t="shared" si="87"/>
        <v>163.84913591779542</v>
      </c>
      <c r="C53" s="2648">
        <f t="shared" si="87"/>
        <v>145.0283378746594</v>
      </c>
      <c r="D53" s="2648">
        <f t="shared" si="65"/>
        <v>145.0283378746594</v>
      </c>
      <c r="E53" s="2648">
        <f t="shared" si="88"/>
        <v>204.95180722891567</v>
      </c>
      <c r="F53" s="2648">
        <f t="shared" si="88"/>
        <v>125.95920303605313</v>
      </c>
      <c r="G53" s="3469">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2611</v>
      </c>
      <c r="B54" s="2662">
        <v>159</v>
      </c>
      <c r="C54" s="2662">
        <v>141</v>
      </c>
      <c r="D54" s="2662">
        <f t="shared" si="65"/>
        <v>141</v>
      </c>
      <c r="E54" s="2662">
        <v>195</v>
      </c>
      <c r="F54" s="2663">
        <v>122</v>
      </c>
      <c r="G54" s="3467">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2612</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8">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2613</v>
      </c>
      <c r="B56" s="2648">
        <f t="shared" si="91"/>
        <v>146.57412060301507</v>
      </c>
      <c r="C56" s="2648">
        <f t="shared" si="91"/>
        <v>136.46831955922866</v>
      </c>
      <c r="D56" s="2648">
        <f t="shared" si="65"/>
        <v>136.46831955922866</v>
      </c>
      <c r="E56" s="2648">
        <f t="shared" si="92"/>
        <v>166.73864894795128</v>
      </c>
      <c r="F56" s="2648">
        <f t="shared" si="92"/>
        <v>115.05882352941177</v>
      </c>
      <c r="G56" s="3468">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2614</v>
      </c>
      <c r="B57" s="2648">
        <f t="shared" si="91"/>
        <v>144.04145728643215</v>
      </c>
      <c r="C57" s="2648">
        <f t="shared" si="91"/>
        <v>136.12396694214877</v>
      </c>
      <c r="D57" s="2648">
        <f t="shared" si="65"/>
        <v>136.12396694214877</v>
      </c>
      <c r="E57" s="2648">
        <f t="shared" si="92"/>
        <v>158.32225913621264</v>
      </c>
      <c r="F57" s="2648">
        <f t="shared" si="92"/>
        <v>114.04278074866311</v>
      </c>
      <c r="G57" s="3469">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2615</v>
      </c>
      <c r="B58" s="2662">
        <v>138</v>
      </c>
      <c r="C58" s="2662">
        <v>131</v>
      </c>
      <c r="D58" s="2662">
        <f t="shared" si="65"/>
        <v>131</v>
      </c>
      <c r="E58" s="2662">
        <v>155</v>
      </c>
      <c r="F58" s="2663">
        <v>114</v>
      </c>
      <c r="G58" s="3467">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2616</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8">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2617</v>
      </c>
      <c r="B60" s="2648">
        <f t="shared" si="95"/>
        <v>124.29032258064517</v>
      </c>
      <c r="C60" s="2648">
        <f t="shared" si="95"/>
        <v>123.8968609865471</v>
      </c>
      <c r="D60" s="2648">
        <f t="shared" si="65"/>
        <v>123.8968609865471</v>
      </c>
      <c r="E60" s="2648">
        <f t="shared" si="96"/>
        <v>138.00507614213197</v>
      </c>
      <c r="F60" s="2648">
        <f t="shared" si="96"/>
        <v>107.96106557377048</v>
      </c>
      <c r="G60" s="3468">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2618</v>
      </c>
      <c r="B61" s="2648">
        <f t="shared" si="95"/>
        <v>122.57204301075269</v>
      </c>
      <c r="C61" s="2648">
        <f t="shared" si="95"/>
        <v>123.4932735426009</v>
      </c>
      <c r="D61" s="2648">
        <f t="shared" si="65"/>
        <v>123.4932735426009</v>
      </c>
      <c r="E61" s="2648">
        <f t="shared" si="96"/>
        <v>129.82233502538071</v>
      </c>
      <c r="F61" s="2648">
        <f t="shared" si="96"/>
        <v>107.39446721311475</v>
      </c>
      <c r="G61" s="3469">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2619</v>
      </c>
      <c r="B62" s="2678">
        <v>121</v>
      </c>
      <c r="C62" s="2678">
        <v>122</v>
      </c>
      <c r="D62" s="2678">
        <f t="shared" si="65"/>
        <v>122</v>
      </c>
      <c r="E62" s="2678">
        <v>124</v>
      </c>
      <c r="F62" s="2679">
        <v>107</v>
      </c>
      <c r="G62" s="3467">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2620</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8">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2621</v>
      </c>
      <c r="B64" s="2648">
        <f t="shared" si="99"/>
        <v>116.99099099099099</v>
      </c>
      <c r="C64" s="2648">
        <f t="shared" si="99"/>
        <v>118.84848484848486</v>
      </c>
      <c r="D64" s="2648">
        <f t="shared" si="65"/>
        <v>118.84848484848486</v>
      </c>
      <c r="E64" s="2648">
        <f t="shared" si="100"/>
        <v>117.60960960960961</v>
      </c>
      <c r="F64" s="2648">
        <f t="shared" si="100"/>
        <v>104</v>
      </c>
      <c r="G64" s="3468">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2622</v>
      </c>
      <c r="B65" s="2681">
        <f t="shared" si="99"/>
        <v>112.48648648648648</v>
      </c>
      <c r="C65" s="2681">
        <f t="shared" si="99"/>
        <v>115.21212121212122</v>
      </c>
      <c r="D65" s="2681">
        <f t="shared" si="65"/>
        <v>115.21212121212122</v>
      </c>
      <c r="E65" s="2681">
        <f t="shared" si="100"/>
        <v>110.4024024024024</v>
      </c>
      <c r="F65" s="2681">
        <f t="shared" si="100"/>
        <v>104</v>
      </c>
      <c r="G65" s="3469">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2623</v>
      </c>
      <c r="B66" s="2699">
        <v>111</v>
      </c>
      <c r="C66" s="2699">
        <v>114</v>
      </c>
      <c r="D66" s="2699">
        <f t="shared" si="65"/>
        <v>114</v>
      </c>
      <c r="E66" s="2699">
        <v>108</v>
      </c>
      <c r="F66" s="2700">
        <v>104</v>
      </c>
      <c r="G66" s="3467">
        <v>2003</v>
      </c>
      <c r="H66" s="2689">
        <v>4</v>
      </c>
      <c r="I66" s="2701"/>
      <c r="J66" s="2701"/>
      <c r="K66" s="2701"/>
      <c r="L66" s="2701"/>
      <c r="N66" s="2702"/>
      <c r="O66" s="2701"/>
      <c r="P66" s="2701"/>
      <c r="Q66" s="2701"/>
      <c r="S66" s="2702"/>
      <c r="T66" s="2701"/>
      <c r="U66" s="2701"/>
      <c r="V66" s="2701"/>
      <c r="X66" s="2693"/>
      <c r="Y66" s="2693"/>
      <c r="Z66" s="2693"/>
    </row>
    <row r="67" spans="1:26">
      <c r="A67" s="2635" t="s">
        <v>2624</v>
      </c>
      <c r="B67" s="2703">
        <f t="shared" ref="B67:C69" si="101">B68+(B$66-B$70)/4</f>
        <v>109.75</v>
      </c>
      <c r="C67" s="2703">
        <f t="shared" si="101"/>
        <v>112.25</v>
      </c>
      <c r="D67" s="2703">
        <f t="shared" si="65"/>
        <v>112.25</v>
      </c>
      <c r="E67" s="2703">
        <f t="shared" ref="E67:F69" si="102">E68+(E$66-E$70)/4</f>
        <v>107.25</v>
      </c>
      <c r="F67" s="2703">
        <f t="shared" si="102"/>
        <v>103.5</v>
      </c>
      <c r="G67" s="3468">
        <v>2003</v>
      </c>
      <c r="H67" s="2659">
        <v>3</v>
      </c>
      <c r="I67" s="2701"/>
      <c r="J67" s="2701"/>
      <c r="K67" s="2701"/>
      <c r="L67" s="2701"/>
      <c r="X67" s="2693"/>
      <c r="Y67" s="2693"/>
      <c r="Z67" s="2693"/>
    </row>
    <row r="68" spans="1:26">
      <c r="A68" s="2635" t="s">
        <v>2625</v>
      </c>
      <c r="B68" s="2703">
        <f t="shared" si="101"/>
        <v>108.5</v>
      </c>
      <c r="C68" s="2703">
        <f t="shared" si="101"/>
        <v>110.5</v>
      </c>
      <c r="D68" s="2703">
        <f t="shared" si="65"/>
        <v>110.5</v>
      </c>
      <c r="E68" s="2703">
        <f t="shared" si="102"/>
        <v>106.5</v>
      </c>
      <c r="F68" s="2703">
        <f t="shared" si="102"/>
        <v>103</v>
      </c>
      <c r="G68" s="3468">
        <v>2003</v>
      </c>
      <c r="H68" s="2639">
        <v>2</v>
      </c>
      <c r="I68" s="2701"/>
      <c r="J68" s="2701"/>
      <c r="K68" s="2701"/>
      <c r="L68" s="2701"/>
      <c r="X68" s="2693"/>
      <c r="Y68" s="2693"/>
      <c r="Z68" s="2693"/>
    </row>
    <row r="69" spans="1:26" ht="13.5" thickBot="1">
      <c r="A69" s="2635" t="s">
        <v>2626</v>
      </c>
      <c r="B69" s="2703">
        <f t="shared" si="101"/>
        <v>107.25</v>
      </c>
      <c r="C69" s="2703">
        <f t="shared" si="101"/>
        <v>108.75</v>
      </c>
      <c r="D69" s="2703">
        <f t="shared" si="65"/>
        <v>108.75</v>
      </c>
      <c r="E69" s="2703">
        <f t="shared" si="102"/>
        <v>105.75</v>
      </c>
      <c r="F69" s="2703">
        <f t="shared" si="102"/>
        <v>102.5</v>
      </c>
      <c r="G69" s="3469">
        <v>2003</v>
      </c>
      <c r="H69" s="2704">
        <v>1</v>
      </c>
      <c r="I69" s="2701"/>
      <c r="J69" s="2701"/>
      <c r="K69" s="2701"/>
      <c r="L69" s="2701"/>
      <c r="S69" s="2643"/>
      <c r="T69" s="2644"/>
      <c r="U69" s="2644"/>
      <c r="X69" s="2693"/>
      <c r="Y69" s="2693"/>
      <c r="Z69" s="2693"/>
    </row>
    <row r="70" spans="1:26" ht="13.5" thickBot="1">
      <c r="A70" s="2635" t="s">
        <v>2627</v>
      </c>
      <c r="B70" s="2705">
        <v>106</v>
      </c>
      <c r="C70" s="2705">
        <v>107</v>
      </c>
      <c r="D70" s="2705">
        <f t="shared" si="65"/>
        <v>107</v>
      </c>
      <c r="E70" s="2705">
        <v>105</v>
      </c>
      <c r="F70" s="2706">
        <v>102</v>
      </c>
      <c r="G70" s="3467">
        <v>2002</v>
      </c>
      <c r="H70" s="2654">
        <v>4</v>
      </c>
      <c r="I70" s="2701"/>
      <c r="J70" s="2701"/>
      <c r="K70" s="2701"/>
      <c r="L70" s="2701"/>
      <c r="N70" s="2702"/>
      <c r="O70" s="2701"/>
      <c r="P70" s="2701"/>
      <c r="Q70" s="2701"/>
      <c r="S70" s="2702"/>
      <c r="T70" s="2701"/>
      <c r="U70" s="2701"/>
      <c r="V70" s="2701"/>
      <c r="X70" s="2693"/>
      <c r="Y70" s="2693"/>
      <c r="Z70" s="2693"/>
    </row>
    <row r="71" spans="1:26">
      <c r="A71" s="2635" t="s">
        <v>2628</v>
      </c>
      <c r="B71" s="2703">
        <f t="shared" ref="B71:C73" si="103">B72+(B$70-B$74)/4</f>
        <v>105</v>
      </c>
      <c r="C71" s="2703">
        <f t="shared" si="103"/>
        <v>106</v>
      </c>
      <c r="D71" s="2703">
        <f t="shared" si="65"/>
        <v>106</v>
      </c>
      <c r="E71" s="2703">
        <f t="shared" ref="E71:F73" si="104">E72+(E$70-E$74)/4</f>
        <v>104.5</v>
      </c>
      <c r="F71" s="2703">
        <f t="shared" si="104"/>
        <v>101.5</v>
      </c>
      <c r="G71" s="3468">
        <v>2002</v>
      </c>
      <c r="H71" s="2659">
        <v>3</v>
      </c>
      <c r="I71" s="2701"/>
      <c r="J71" s="2701"/>
      <c r="K71" s="2701"/>
      <c r="L71" s="2701"/>
      <c r="X71" s="2693"/>
      <c r="Y71" s="2693"/>
      <c r="Z71" s="2693"/>
    </row>
    <row r="72" spans="1:26">
      <c r="A72" s="2635" t="s">
        <v>2629</v>
      </c>
      <c r="B72" s="2703">
        <f t="shared" si="103"/>
        <v>104</v>
      </c>
      <c r="C72" s="2703">
        <f t="shared" si="103"/>
        <v>105</v>
      </c>
      <c r="D72" s="2703">
        <f t="shared" si="65"/>
        <v>105</v>
      </c>
      <c r="E72" s="2703">
        <f t="shared" si="104"/>
        <v>104</v>
      </c>
      <c r="F72" s="2703">
        <f t="shared" si="104"/>
        <v>101</v>
      </c>
      <c r="G72" s="3468">
        <v>2002</v>
      </c>
      <c r="H72" s="2639">
        <v>2</v>
      </c>
      <c r="I72" s="2701"/>
      <c r="J72" s="2701"/>
      <c r="K72" s="2701"/>
      <c r="L72" s="2701"/>
      <c r="X72" s="2693"/>
      <c r="Y72" s="2693"/>
      <c r="Z72" s="2693"/>
    </row>
    <row r="73" spans="1:26" s="2670" customFormat="1" ht="13.5" thickBot="1">
      <c r="A73" s="2666" t="s">
        <v>2630</v>
      </c>
      <c r="B73" s="2707">
        <f t="shared" si="103"/>
        <v>103</v>
      </c>
      <c r="C73" s="2707">
        <f t="shared" si="103"/>
        <v>104</v>
      </c>
      <c r="D73" s="2707">
        <f t="shared" si="65"/>
        <v>104</v>
      </c>
      <c r="E73" s="2707">
        <f t="shared" si="104"/>
        <v>103.5</v>
      </c>
      <c r="F73" s="2707">
        <f t="shared" si="104"/>
        <v>100.5</v>
      </c>
      <c r="G73" s="3469">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2631</v>
      </c>
      <c r="G76" s="2717"/>
      <c r="N76" s="2717"/>
      <c r="S76" s="2717"/>
    </row>
    <row r="77" spans="1:26" s="2716" customFormat="1">
      <c r="A77" s="2716" t="s">
        <v>2632</v>
      </c>
      <c r="G77" s="2717"/>
      <c r="N77" s="2717"/>
      <c r="S77" s="2717"/>
    </row>
    <row r="78" spans="1:26" s="2716" customFormat="1">
      <c r="A78" s="2716" t="s">
        <v>2633</v>
      </c>
      <c r="G78" s="2717"/>
      <c r="I78" s="2718"/>
      <c r="J78" s="2718"/>
      <c r="K78" s="2718"/>
      <c r="L78" s="2718"/>
      <c r="N78" s="2719"/>
      <c r="O78" s="2718"/>
      <c r="P78" s="2718"/>
      <c r="Q78" s="2718"/>
      <c r="S78" s="2719"/>
      <c r="T78" s="2718"/>
      <c r="U78" s="2718"/>
      <c r="V78" s="2718"/>
    </row>
    <row r="79" spans="1:26" s="2716" customFormat="1">
      <c r="A79" s="2716" t="s">
        <v>2634</v>
      </c>
      <c r="G79" s="2717"/>
      <c r="N79" s="2717"/>
      <c r="S79" s="2717"/>
    </row>
    <row r="86" spans="7:22" ht="13.5" thickBot="1"/>
    <row r="87" spans="7:22">
      <c r="G87" s="2642"/>
      <c r="S87" s="2720" t="s">
        <v>2635</v>
      </c>
      <c r="T87" s="2721" t="s">
        <v>2636</v>
      </c>
      <c r="U87" s="2721" t="s">
        <v>2637</v>
      </c>
      <c r="V87" s="2721" t="s">
        <v>2638</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3061</v>
      </c>
      <c r="D1" s="3099" t="s">
        <v>3014</v>
      </c>
      <c r="E1" s="2367" t="s">
        <v>2375</v>
      </c>
      <c r="F1" s="2368">
        <f ca="1">J53</f>
        <v>30.86</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35998</v>
      </c>
      <c r="C2" s="2058"/>
      <c r="D2" s="2056"/>
      <c r="E2" s="2057"/>
      <c r="F2" s="2057"/>
      <c r="G2" s="1591"/>
      <c r="H2" s="2058"/>
      <c r="I2" s="2058"/>
      <c r="J2" s="2058"/>
      <c r="K2" s="2059"/>
      <c r="L2" s="2058"/>
      <c r="M2" s="2058"/>
    </row>
    <row r="3" spans="1:33" ht="18" customHeight="1" thickBot="1">
      <c r="A3" s="833" t="s">
        <v>1728</v>
      </c>
      <c r="B3" s="834">
        <f ca="1">IF(ISERROR(B2*10000/F43),0,ROUND(B2*10000/F43,0))</f>
        <v>23247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2289</v>
      </c>
      <c r="D5" s="2476" t="s">
        <v>2461</v>
      </c>
      <c r="E5" s="2470"/>
      <c r="F5" s="2471"/>
      <c r="G5" s="1593"/>
      <c r="H5" s="781">
        <v>1</v>
      </c>
      <c r="I5" s="782" t="s">
        <v>2458</v>
      </c>
      <c r="J5" s="55">
        <f ca="1">J6+J10+J12</f>
        <v>0</v>
      </c>
      <c r="K5" s="2476" t="s">
        <v>2461</v>
      </c>
      <c r="L5" s="2470"/>
      <c r="M5" s="2471"/>
    </row>
    <row r="6" spans="1:33" ht="18" customHeight="1">
      <c r="A6" s="1831" t="s">
        <v>1825</v>
      </c>
      <c r="B6" s="3458" t="s">
        <v>2463</v>
      </c>
      <c r="C6" s="783">
        <f ca="1">ROUND(F6*F8*F7*(1-F9)/10000,0)</f>
        <v>2289</v>
      </c>
      <c r="D6" s="2477" t="s">
        <v>2462</v>
      </c>
      <c r="E6" s="784" t="s">
        <v>1739</v>
      </c>
      <c r="F6" s="785">
        <f ca="1">INDIRECT("'数据-取费表'!u"&amp;$G$1)</f>
        <v>4.5</v>
      </c>
      <c r="G6" s="1593"/>
      <c r="H6" s="2484" t="s">
        <v>2468</v>
      </c>
      <c r="I6" s="3458" t="s">
        <v>2463</v>
      </c>
      <c r="J6" s="783">
        <f ca="1">ROUND(M6*M8*M7*(1-M9)/10000,0)</f>
        <v>0</v>
      </c>
      <c r="K6" s="341" t="s">
        <v>1738</v>
      </c>
      <c r="L6" s="784" t="s">
        <v>1739</v>
      </c>
      <c r="M6" s="785">
        <f ca="1">INDIRECT("'数据-取费表'!z"&amp;$G$1)</f>
        <v>0</v>
      </c>
    </row>
    <row r="7" spans="1:33" ht="18" customHeight="1">
      <c r="A7" s="2480"/>
      <c r="B7" s="3459"/>
      <c r="C7" s="788"/>
      <c r="D7" s="789"/>
      <c r="E7" s="784" t="s">
        <v>1740</v>
      </c>
      <c r="F7" s="785">
        <f ca="1">IF(INDIRECT("'数据-取费表'!ah"&amp;$G$1)="",INDIRECT("'数据-取费表'!k"&amp;$G$1),INDIRECT("'数据-取费表'!ah"&amp;$G$1))</f>
        <v>15485</v>
      </c>
      <c r="G7" s="1593"/>
      <c r="H7" s="2469"/>
      <c r="I7" s="3459"/>
      <c r="J7" s="788"/>
      <c r="K7" s="789"/>
      <c r="L7" s="784" t="s">
        <v>1740</v>
      </c>
      <c r="M7" s="785">
        <f ca="1">F7</f>
        <v>15485</v>
      </c>
    </row>
    <row r="8" spans="1:33" ht="18" customHeight="1">
      <c r="A8" s="2473"/>
      <c r="B8" s="3460"/>
      <c r="C8" s="788"/>
      <c r="D8" s="789"/>
      <c r="E8" s="784" t="s">
        <v>1741</v>
      </c>
      <c r="F8" s="785">
        <f ca="1">INDIRECT("'数据-取费表'!ai"&amp;$G$1)</f>
        <v>365</v>
      </c>
      <c r="G8" s="1593"/>
      <c r="H8" s="2469"/>
      <c r="I8" s="3460"/>
      <c r="J8" s="788"/>
      <c r="K8" s="789"/>
      <c r="L8" s="784" t="s">
        <v>1741</v>
      </c>
      <c r="M8" s="785">
        <f ca="1">INDIRECT("'数据-取费表'!ai"&amp;$G$1)</f>
        <v>365</v>
      </c>
    </row>
    <row r="9" spans="1:33" ht="18" customHeight="1">
      <c r="A9" s="786"/>
      <c r="B9" s="3461"/>
      <c r="C9" s="788"/>
      <c r="D9" s="789"/>
      <c r="E9" s="784" t="s">
        <v>1742</v>
      </c>
      <c r="F9" s="794">
        <f ca="1">INDIRECT("'数据-取费表'!w"&amp;$G$1)</f>
        <v>0.1</v>
      </c>
      <c r="G9" s="1593"/>
      <c r="H9" s="2485"/>
      <c r="I9" s="3460"/>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2976</v>
      </c>
      <c r="E10" s="2478" t="s">
        <v>2464</v>
      </c>
      <c r="F10" s="2601"/>
      <c r="G10" s="1593"/>
      <c r="H10" s="2541" t="s">
        <v>2469</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8700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5585</v>
      </c>
      <c r="D14" s="1980" t="s">
        <v>1746</v>
      </c>
      <c r="E14" s="1981"/>
      <c r="F14" s="805"/>
      <c r="G14" s="1593"/>
      <c r="H14" s="1650" t="s">
        <v>1831</v>
      </c>
      <c r="I14" s="2232" t="s">
        <v>2826</v>
      </c>
      <c r="J14" s="53">
        <f ca="1">C29</f>
        <v>8700</v>
      </c>
      <c r="K14" s="26"/>
      <c r="L14" s="801"/>
      <c r="M14" s="802"/>
    </row>
    <row r="15" spans="1:33" s="2065" customFormat="1" ht="18" customHeight="1" thickBot="1">
      <c r="A15" s="1649" t="s">
        <v>1886</v>
      </c>
      <c r="B15" s="784" t="s">
        <v>647</v>
      </c>
      <c r="C15" s="53">
        <f ca="1">ROUND(C14*F15,0)</f>
        <v>168</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867</v>
      </c>
      <c r="K16" s="1822" t="s">
        <v>1751</v>
      </c>
      <c r="L16" s="2466"/>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1831</v>
      </c>
      <c r="I17" s="784" t="s">
        <v>656</v>
      </c>
      <c r="J17" s="53">
        <f ca="1">ROUND(IF(项目基本情况!B11="自然人",J5*M17,J18+J19+J20),0)</f>
        <v>736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84</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6260</v>
      </c>
      <c r="D19" s="261" t="s">
        <v>1758</v>
      </c>
      <c r="E19" s="1983"/>
      <c r="F19" s="56"/>
      <c r="G19" s="1593"/>
      <c r="H19" s="1649" t="s">
        <v>1886</v>
      </c>
      <c r="I19" s="784" t="s">
        <v>1759</v>
      </c>
      <c r="J19" s="53">
        <f ca="1">IF(K19="按租金收入计税",ROUND(J5*M19,1),ROUND(C29*F33*0.7,1))</f>
        <v>730.8</v>
      </c>
      <c r="K19" s="811" t="s">
        <v>665</v>
      </c>
      <c r="L19" s="784" t="s">
        <v>1748</v>
      </c>
      <c r="M19" s="809">
        <f>IF(K19="按租金收入计税",'数据-取费表'!B51,'数据-取费表'!B50)</f>
        <v>1.2E-2</v>
      </c>
    </row>
    <row r="20" spans="1:33" s="2065" customFormat="1" ht="18" customHeight="1">
      <c r="A20" s="1650" t="s">
        <v>1890</v>
      </c>
      <c r="B20" s="784" t="s">
        <v>666</v>
      </c>
      <c r="C20" s="53">
        <f ca="1">ROUND(C19*F20,0)</f>
        <v>125</v>
      </c>
      <c r="D20" s="812" t="s">
        <v>1760</v>
      </c>
      <c r="E20" s="784" t="s">
        <v>1748</v>
      </c>
      <c r="F20" s="809">
        <f>'数据-取费表'!B37</f>
        <v>0.02</v>
      </c>
      <c r="G20" s="1594"/>
      <c r="H20" s="1652" t="s">
        <v>1881</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2.5000000000000001E-2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131</v>
      </c>
      <c r="K22" s="2464"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303</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-867</v>
      </c>
      <c r="K25" s="2528" t="s">
        <v>1778</v>
      </c>
      <c r="L25" s="2529"/>
      <c r="M25" s="2530"/>
    </row>
    <row r="26" spans="1:33" ht="18" customHeight="1">
      <c r="A26" s="1649" t="s">
        <v>1832</v>
      </c>
      <c r="B26" s="784" t="s">
        <v>2439</v>
      </c>
      <c r="C26" s="53">
        <f ca="1">ROUND((C19+C20)*F26,0)</f>
        <v>1277</v>
      </c>
      <c r="D26" s="812" t="s">
        <v>1779</v>
      </c>
      <c r="E26" s="795" t="s">
        <v>1780</v>
      </c>
      <c r="F26" s="794">
        <f ca="1">INDIRECT("'数据-取费表'!q"&amp;$G$1)</f>
        <v>0.2</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8700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568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401.7</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122.1</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274.7</v>
      </c>
      <c r="D33" s="811" t="s">
        <v>3016</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4.9000000000000004</v>
      </c>
      <c r="D34" s="814" t="s">
        <v>1800</v>
      </c>
      <c r="E34" s="784" t="s">
        <v>1801</v>
      </c>
      <c r="F34" s="640">
        <f>'数据-取费表'!B52</f>
        <v>12</v>
      </c>
      <c r="G34" s="2063"/>
      <c r="H34" s="2066"/>
      <c r="I34" s="835" t="s">
        <v>1814</v>
      </c>
      <c r="J34" s="836"/>
      <c r="K34" s="2081"/>
      <c r="L34" s="2080"/>
      <c r="M34" s="2080"/>
    </row>
    <row r="35" spans="1:18" ht="18" customHeight="1">
      <c r="A35" s="815"/>
      <c r="B35" s="793"/>
      <c r="C35" s="69"/>
      <c r="D35" s="816"/>
      <c r="E35" s="784" t="s">
        <v>1802</v>
      </c>
      <c r="F35" s="785">
        <f ca="1">INDIRECT("'数据-取费表'!r"&amp;$G$1)</f>
        <v>4103.7</v>
      </c>
      <c r="G35" s="2063"/>
      <c r="H35" s="2066"/>
      <c r="I35" s="837" t="s">
        <v>1815</v>
      </c>
      <c r="J35" s="838">
        <f ca="1">ROUND(C13*J36,0)</f>
        <v>740</v>
      </c>
      <c r="K35" s="2079"/>
      <c r="L35" s="2078"/>
      <c r="M35" s="2078"/>
    </row>
    <row r="36" spans="1:18" ht="18" customHeight="1">
      <c r="A36" s="1650" t="s">
        <v>1890</v>
      </c>
      <c r="B36" s="784" t="s">
        <v>1803</v>
      </c>
      <c r="C36" s="53">
        <f ca="1">ROUND(C29*F36,1)</f>
        <v>130.5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22.9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1721</v>
      </c>
      <c r="D39" s="2528" t="s">
        <v>1807</v>
      </c>
      <c r="E39" s="2529"/>
      <c r="F39" s="2530"/>
      <c r="G39" s="2063"/>
      <c r="H39" s="2078"/>
      <c r="I39" s="837" t="s">
        <v>1819</v>
      </c>
      <c r="J39" s="845">
        <f ca="1">ROUND(J35/C39,3)</f>
        <v>0.43</v>
      </c>
      <c r="K39" s="2084"/>
      <c r="L39" s="2078"/>
      <c r="M39" s="2078"/>
    </row>
    <row r="40" spans="1:18" ht="18" customHeight="1">
      <c r="A40" s="781" t="s">
        <v>1896</v>
      </c>
      <c r="B40" s="2233" t="s">
        <v>2302</v>
      </c>
      <c r="C40" s="783">
        <f ca="1">ROUND(C39*(1-((1+F42)/(1+F40))^F41)/(F40-F42),0)</f>
        <v>35998</v>
      </c>
      <c r="D40" s="814" t="s">
        <v>1808</v>
      </c>
      <c r="E40" s="784" t="s">
        <v>2420</v>
      </c>
      <c r="F40" s="794">
        <f ca="1">INDIRECT("'数据-取费表'!I"&amp;$G$1)</f>
        <v>5.5E-2</v>
      </c>
      <c r="G40" s="2063"/>
      <c r="H40" s="2063"/>
      <c r="I40" s="837" t="s">
        <v>1820</v>
      </c>
      <c r="J40" s="845">
        <f ca="1">1-J39</f>
        <v>0.57000000000000006</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30.86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0.24199999999999999</v>
      </c>
      <c r="K42" s="2083"/>
      <c r="L42" s="1989"/>
      <c r="M42" s="1989"/>
    </row>
    <row r="43" spans="1:18" ht="18" customHeight="1" thickBot="1">
      <c r="A43" s="823" t="s">
        <v>1788</v>
      </c>
      <c r="B43" s="824" t="s">
        <v>1811</v>
      </c>
      <c r="C43" s="825">
        <f ca="1">ROUND(C40*10000/F43,0)</f>
        <v>23247</v>
      </c>
      <c r="D43" s="826" t="s">
        <v>1812</v>
      </c>
      <c r="E43" s="827" t="s">
        <v>1813</v>
      </c>
      <c r="F43" s="828">
        <f ca="1">INDIRECT("'数据-取费表'!k"&amp;$G$1)</f>
        <v>15485</v>
      </c>
      <c r="G43" s="2063"/>
      <c r="H43" s="1989"/>
      <c r="I43" s="847" t="s">
        <v>1823</v>
      </c>
      <c r="J43" s="848">
        <f ca="1">1-J42</f>
        <v>0.75800000000000001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-38188</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3015</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2537</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32.86</v>
      </c>
      <c r="O48" s="2378" t="s">
        <v>2380</v>
      </c>
      <c r="P48" s="2379" t="s">
        <v>2406</v>
      </c>
      <c r="Q48" s="2380">
        <f ca="1">C40+J29</f>
        <v>35998</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8700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16676</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2977</v>
      </c>
      <c r="E52" s="2478" t="s">
        <v>2464</v>
      </c>
      <c r="F52" s="2601"/>
      <c r="I52" s="3123" t="s">
        <v>2422</v>
      </c>
      <c r="J52" s="2365">
        <v>0.09</v>
      </c>
      <c r="K52" s="3123" t="s">
        <v>2421</v>
      </c>
      <c r="L52" s="2365"/>
      <c r="O52" s="2381" t="s">
        <v>2387</v>
      </c>
      <c r="P52" s="2379" t="s">
        <v>2388</v>
      </c>
      <c r="Q52" s="2382">
        <f>J52</f>
        <v>0.09</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30.86</v>
      </c>
      <c r="K53" s="3475" t="s">
        <v>2968</v>
      </c>
      <c r="L53" s="3476"/>
      <c r="O53" s="2381" t="s">
        <v>2389</v>
      </c>
      <c r="P53" s="2379" t="s">
        <v>2390</v>
      </c>
      <c r="Q53" s="2380">
        <f ca="1">J53</f>
        <v>30.86</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35998</v>
      </c>
      <c r="R54" s="2383" t="s">
        <v>2393</v>
      </c>
    </row>
    <row r="55" spans="1:18" s="2060" customFormat="1" ht="18" customHeight="1" thickTop="1" thickBot="1">
      <c r="A55" s="797">
        <v>2</v>
      </c>
      <c r="B55" s="798" t="s">
        <v>644</v>
      </c>
      <c r="C55" s="799">
        <f ca="1">C13</f>
        <v>8700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2303</v>
      </c>
      <c r="C56" s="53">
        <f ca="1">C29</f>
        <v>8700</v>
      </c>
      <c r="D56" s="2619"/>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149</v>
      </c>
      <c r="D57" s="26" t="s">
        <v>1751</v>
      </c>
      <c r="E57" s="2620"/>
      <c r="F57" s="56"/>
      <c r="I57" s="3139" t="s">
        <v>2359</v>
      </c>
      <c r="J57" s="3140" t="str">
        <f ca="1">IF(OR(M47="住宅",J51&lt;L48,J56="是"),"——",J51-L48)</f>
        <v>——</v>
      </c>
      <c r="K57" s="3100" t="s">
        <v>2364</v>
      </c>
      <c r="L57" s="1909" t="str">
        <f ca="1">IF(L48&lt;J51,"——",IF(L55="比较法",L49,IF(L55="基准地价",L50,L51)))</f>
        <v>——</v>
      </c>
      <c r="O57" s="2378" t="s">
        <v>2380</v>
      </c>
      <c r="P57" s="2379" t="s">
        <v>2410</v>
      </c>
      <c r="Q57" s="2380">
        <f ca="1">C40+J29</f>
        <v>35998</v>
      </c>
      <c r="R57" s="2379" t="s">
        <v>2381</v>
      </c>
    </row>
    <row r="58" spans="1:18" s="2060" customFormat="1" ht="28.5" customHeight="1" thickBot="1">
      <c r="A58" s="1650" t="s">
        <v>1825</v>
      </c>
      <c r="B58" s="784" t="s">
        <v>656</v>
      </c>
      <c r="C58" s="53">
        <f ca="1">ROUND(IF(项目基本情况!B11="自然人",C47*F58,C59+C60+C61),1)</f>
        <v>4.9000000000000004</v>
      </c>
      <c r="D58" s="2618" t="s">
        <v>657</v>
      </c>
      <c r="E58" s="2619"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130.5</v>
      </c>
      <c r="D63" s="2619" t="s">
        <v>1804</v>
      </c>
      <c r="E63" s="784" t="s">
        <v>1748</v>
      </c>
      <c r="F63" s="817">
        <f t="shared" ca="1" si="0"/>
        <v>1.4999999999999999E-2</v>
      </c>
      <c r="I63" s="3144" t="s">
        <v>2371</v>
      </c>
      <c r="J63" s="3145">
        <v>70</v>
      </c>
      <c r="K63" s="3145">
        <v>50</v>
      </c>
      <c r="L63" s="3145">
        <v>80</v>
      </c>
      <c r="M63" s="3147">
        <v>0.02</v>
      </c>
      <c r="O63" s="2378" t="s">
        <v>2392</v>
      </c>
      <c r="P63" s="2379" t="s">
        <v>2409</v>
      </c>
      <c r="Q63" s="2380">
        <f ca="1">Q57+Q58</f>
        <v>35998</v>
      </c>
      <c r="R63" s="2383" t="s">
        <v>2393</v>
      </c>
    </row>
    <row r="64" spans="1:18" s="2060" customFormat="1" ht="16.5" thickBot="1">
      <c r="A64" s="1650" t="s">
        <v>1891</v>
      </c>
      <c r="B64" s="784" t="s">
        <v>679</v>
      </c>
      <c r="C64" s="53">
        <f ca="1">ROUND(C55*F64,1)</f>
        <v>13.1</v>
      </c>
      <c r="D64" s="2619"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f ca="1">C47-C57</f>
        <v>-149</v>
      </c>
      <c r="D66" s="2618" t="s">
        <v>700</v>
      </c>
      <c r="E66" s="2617"/>
      <c r="F66" s="820"/>
      <c r="K66" s="2087"/>
      <c r="O66" s="2378" t="s">
        <v>2380</v>
      </c>
      <c r="P66" s="2379" t="s">
        <v>2410</v>
      </c>
      <c r="Q66" s="2380">
        <f ca="1">C40+J29</f>
        <v>35998</v>
      </c>
      <c r="R66" s="2379" t="s">
        <v>2381</v>
      </c>
    </row>
    <row r="67" spans="1:18" s="2060" customFormat="1" ht="20.25" thickBot="1">
      <c r="A67" s="781" t="s">
        <v>1781</v>
      </c>
      <c r="B67" s="2233" t="s">
        <v>2302</v>
      </c>
      <c r="C67" s="783">
        <f ca="1">ROUND(C66*(1-((1+F69)/(1+F67))^F68)/(F67-F69),0)</f>
        <v>-2190</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30.86</v>
      </c>
      <c r="O68" s="2381" t="s">
        <v>2384</v>
      </c>
      <c r="P68" s="2379" t="s">
        <v>2414</v>
      </c>
      <c r="Q68" s="2385">
        <f ca="1">L51</f>
        <v>16676</v>
      </c>
      <c r="R68" s="2386" t="s">
        <v>2417</v>
      </c>
    </row>
    <row r="69" spans="1:18" ht="20.25" thickBot="1">
      <c r="A69" s="790"/>
      <c r="B69" s="791"/>
      <c r="C69" s="792"/>
      <c r="D69" s="816"/>
      <c r="E69" s="784" t="s">
        <v>710</v>
      </c>
      <c r="F69" s="2351"/>
      <c r="O69" s="2381" t="s">
        <v>2385</v>
      </c>
      <c r="P69" s="2387" t="s">
        <v>2399</v>
      </c>
      <c r="Q69" s="2380">
        <f ca="1">ROUND(Q70-Q71*Q72,0)</f>
        <v>982</v>
      </c>
      <c r="R69" s="2383"/>
    </row>
    <row r="70" spans="1:18" ht="15.75" thickBot="1">
      <c r="A70" s="823" t="s">
        <v>1788</v>
      </c>
      <c r="B70" s="824" t="s">
        <v>1811</v>
      </c>
      <c r="C70" s="825">
        <f ca="1">ROUND(C67*10000/F70,0)</f>
        <v>-1414</v>
      </c>
      <c r="D70" s="826" t="s">
        <v>1812</v>
      </c>
      <c r="E70" s="827" t="s">
        <v>1813</v>
      </c>
      <c r="F70" s="828">
        <f ca="1">F43</f>
        <v>15485</v>
      </c>
      <c r="O70" s="2381" t="s">
        <v>2400</v>
      </c>
      <c r="P70" s="2387" t="s">
        <v>2401</v>
      </c>
      <c r="Q70" s="2380">
        <f ca="1">C39</f>
        <v>1721</v>
      </c>
      <c r="R70" s="2379" t="s">
        <v>2381</v>
      </c>
    </row>
    <row r="71" spans="1:18" ht="15.75" thickBot="1">
      <c r="O71" s="2381" t="s">
        <v>2402</v>
      </c>
      <c r="P71" s="2387" t="s">
        <v>2403</v>
      </c>
      <c r="Q71" s="2380">
        <f ca="1">C13</f>
        <v>8700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35998</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D39" sqref="D39"/>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099" t="s">
        <v>3014</v>
      </c>
      <c r="E1" s="2367" t="s">
        <v>2375</v>
      </c>
      <c r="F1" s="2368" t="e">
        <f ca="1">J53</f>
        <v>#N/A</v>
      </c>
      <c r="G1" s="774" t="e">
        <f>MATCH(C1,'数据-取费表'!A6:A16,0)+5</f>
        <v>#N/A</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1"/>
      <c r="H2" s="2058"/>
      <c r="I2" s="2058"/>
      <c r="J2" s="2058"/>
      <c r="K2" s="2059"/>
      <c r="L2" s="2058"/>
      <c r="M2" s="2058"/>
    </row>
    <row r="3" spans="1:33" ht="18" customHeight="1" thickBot="1">
      <c r="A3" s="833" t="s">
        <v>795</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699</v>
      </c>
      <c r="C4" s="778" t="s">
        <v>1731</v>
      </c>
      <c r="D4" s="778" t="s">
        <v>633</v>
      </c>
      <c r="E4" s="779" t="s">
        <v>1732</v>
      </c>
      <c r="F4" s="780"/>
      <c r="G4" s="1593"/>
      <c r="H4" s="777" t="s">
        <v>1729</v>
      </c>
      <c r="I4" s="778" t="s">
        <v>699</v>
      </c>
      <c r="J4" s="778" t="s">
        <v>1731</v>
      </c>
      <c r="K4" s="778" t="s">
        <v>1736</v>
      </c>
      <c r="L4" s="779" t="s">
        <v>1732</v>
      </c>
      <c r="M4" s="780"/>
    </row>
    <row r="5" spans="1:33" ht="18" customHeight="1">
      <c r="A5" s="781">
        <v>1</v>
      </c>
      <c r="B5" s="782" t="s">
        <v>2458</v>
      </c>
      <c r="C5" s="55" t="e">
        <f ca="1">C6+C10+C12</f>
        <v>#N/A</v>
      </c>
      <c r="D5" s="2476" t="s">
        <v>2461</v>
      </c>
      <c r="E5" s="2470"/>
      <c r="F5" s="2471"/>
      <c r="G5" s="1593"/>
      <c r="H5" s="781">
        <v>1</v>
      </c>
      <c r="I5" s="782" t="s">
        <v>2458</v>
      </c>
      <c r="J5" s="55" t="e">
        <f ca="1">J6+J10+J12</f>
        <v>#N/A</v>
      </c>
      <c r="K5" s="2476" t="s">
        <v>2461</v>
      </c>
      <c r="L5" s="2470"/>
      <c r="M5" s="2471"/>
    </row>
    <row r="6" spans="1:33" ht="18" customHeight="1">
      <c r="A6" s="1831" t="s">
        <v>1825</v>
      </c>
      <c r="B6" s="3458" t="s">
        <v>2463</v>
      </c>
      <c r="C6" s="783" t="e">
        <f ca="1">ROUND(F6*F8*F7*(1-F9)/10000,0)</f>
        <v>#N/A</v>
      </c>
      <c r="D6" s="2477" t="s">
        <v>2462</v>
      </c>
      <c r="E6" s="784" t="s">
        <v>1739</v>
      </c>
      <c r="F6" s="785" t="e">
        <f ca="1">INDIRECT("'数据-取费表'!u"&amp;$G$1)</f>
        <v>#N/A</v>
      </c>
      <c r="G6" s="1593"/>
      <c r="H6" s="2484" t="s">
        <v>1825</v>
      </c>
      <c r="I6" s="3458" t="s">
        <v>2463</v>
      </c>
      <c r="J6" s="783" t="e">
        <f ca="1">ROUND(M6*M8*M7*(1-M9)/10000,0)</f>
        <v>#N/A</v>
      </c>
      <c r="K6" s="341" t="s">
        <v>1738</v>
      </c>
      <c r="L6" s="784" t="s">
        <v>1739</v>
      </c>
      <c r="M6" s="785" t="e">
        <f ca="1">INDIRECT("'数据-取费表'!z"&amp;$G$1)</f>
        <v>#N/A</v>
      </c>
    </row>
    <row r="7" spans="1:33" ht="18" customHeight="1">
      <c r="A7" s="2480"/>
      <c r="B7" s="3459"/>
      <c r="C7" s="788"/>
      <c r="D7" s="789"/>
      <c r="E7" s="784" t="s">
        <v>1740</v>
      </c>
      <c r="F7" s="785" t="e">
        <f ca="1">IF(INDIRECT("'数据-取费表'!ah"&amp;$G$1)="",INDIRECT("'数据-取费表'!k"&amp;$G$1),INDIRECT("'数据-取费表'!ah"&amp;$G$1))</f>
        <v>#N/A</v>
      </c>
      <c r="G7" s="1593"/>
      <c r="H7" s="2469"/>
      <c r="I7" s="3459"/>
      <c r="J7" s="788"/>
      <c r="K7" s="789"/>
      <c r="L7" s="784" t="s">
        <v>1740</v>
      </c>
      <c r="M7" s="785" t="e">
        <f ca="1">F7</f>
        <v>#N/A</v>
      </c>
    </row>
    <row r="8" spans="1:33" ht="18" customHeight="1">
      <c r="A8" s="2473"/>
      <c r="B8" s="3460"/>
      <c r="C8" s="788"/>
      <c r="D8" s="789"/>
      <c r="E8" s="784" t="s">
        <v>1741</v>
      </c>
      <c r="F8" s="785" t="e">
        <f ca="1">INDIRECT("'数据-取费表'!ai"&amp;$G$1)</f>
        <v>#N/A</v>
      </c>
      <c r="G8" s="1593"/>
      <c r="H8" s="2469"/>
      <c r="I8" s="3460"/>
      <c r="J8" s="788"/>
      <c r="K8" s="789"/>
      <c r="L8" s="784" t="s">
        <v>1741</v>
      </c>
      <c r="M8" s="785" t="e">
        <f ca="1">INDIRECT("'数据-取费表'!ai"&amp;$G$1)</f>
        <v>#N/A</v>
      </c>
    </row>
    <row r="9" spans="1:33" ht="18" customHeight="1">
      <c r="A9" s="786"/>
      <c r="B9" s="3461"/>
      <c r="C9" s="788"/>
      <c r="D9" s="789"/>
      <c r="E9" s="784" t="s">
        <v>1742</v>
      </c>
      <c r="F9" s="794" t="e">
        <f ca="1">INDIRECT("'数据-取费表'!w"&amp;$G$1)</f>
        <v>#N/A</v>
      </c>
      <c r="G9" s="1593"/>
      <c r="H9" s="2485"/>
      <c r="I9" s="3460"/>
      <c r="J9" s="788"/>
      <c r="K9" s="789"/>
      <c r="L9" s="795" t="s">
        <v>1742</v>
      </c>
      <c r="M9" s="796" t="e">
        <f ca="1">INDIRECT("'数据-取费表'!ab"&amp;$G$1)</f>
        <v>#N/A</v>
      </c>
    </row>
    <row r="10" spans="1:33" ht="18" customHeight="1">
      <c r="A10" s="1831" t="s">
        <v>1826</v>
      </c>
      <c r="B10" s="2474" t="s">
        <v>2459</v>
      </c>
      <c r="C10" s="799">
        <f ca="1">ROUND(IF(F10="押一",C6/12*F11,IF(F10="押二",C6/12*2*F11,IF(F10="押三",C6/12*3*F11,C11*F11))),0)</f>
        <v>0</v>
      </c>
      <c r="D10" s="2481" t="s">
        <v>2976</v>
      </c>
      <c r="E10" s="2478" t="s">
        <v>2464</v>
      </c>
      <c r="F10" s="2601"/>
      <c r="G10" s="1593"/>
      <c r="H10" s="2541" t="s">
        <v>1826</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2456</v>
      </c>
      <c r="F11" s="796">
        <f ca="1">'数据-取费表'!B39</f>
        <v>1.4999999999999999E-2</v>
      </c>
      <c r="G11" s="1593"/>
      <c r="H11" s="2542"/>
      <c r="I11" s="2475" t="s">
        <v>2573</v>
      </c>
      <c r="J11" s="2479"/>
      <c r="K11" s="2543"/>
      <c r="L11" s="2478" t="s">
        <v>2456</v>
      </c>
      <c r="M11" s="2472">
        <f ca="1">'数据-取费表'!B39</f>
        <v>1.4999999999999999E-2</v>
      </c>
    </row>
    <row r="12" spans="1:33" ht="18" customHeight="1" thickBot="1">
      <c r="A12" s="2517" t="s">
        <v>2467</v>
      </c>
      <c r="B12" s="2518" t="s">
        <v>2460</v>
      </c>
      <c r="C12" s="2519"/>
      <c r="D12" s="2520"/>
      <c r="E12" s="2521"/>
      <c r="F12" s="2522"/>
      <c r="G12" s="1593"/>
      <c r="H12" s="2531" t="s">
        <v>2467</v>
      </c>
      <c r="I12" s="2544" t="s">
        <v>2460</v>
      </c>
      <c r="J12" s="2545"/>
      <c r="K12" s="2520"/>
      <c r="L12" s="2521"/>
      <c r="M12" s="2534"/>
    </row>
    <row r="13" spans="1:33" ht="18" customHeight="1" thickTop="1">
      <c r="A13" s="1830">
        <v>2</v>
      </c>
      <c r="B13" s="1828" t="s">
        <v>1743</v>
      </c>
      <c r="C13" s="792" t="e">
        <f ca="1">ROUND(C29*F13,0)</f>
        <v>#N/A</v>
      </c>
      <c r="D13" s="1835" t="s">
        <v>2298</v>
      </c>
      <c r="E13" s="1835" t="s">
        <v>1745</v>
      </c>
      <c r="F13" s="2516" t="e">
        <f ca="1">INDIRECT("'数据-取费表'!y"&amp;$G$1)</f>
        <v>#N/A</v>
      </c>
      <c r="G13" s="1593"/>
      <c r="H13" s="1830">
        <v>2</v>
      </c>
      <c r="I13" s="1828" t="s">
        <v>1743</v>
      </c>
      <c r="J13" s="1820" t="e">
        <f ca="1">ROUND(J14*J15,0)</f>
        <v>#N/A</v>
      </c>
      <c r="K13" s="1822" t="s">
        <v>1744</v>
      </c>
      <c r="L13" s="2532"/>
      <c r="M13" s="2533"/>
    </row>
    <row r="14" spans="1:33" ht="18" customHeight="1">
      <c r="A14" s="1649" t="s">
        <v>1832</v>
      </c>
      <c r="B14" s="784" t="s">
        <v>645</v>
      </c>
      <c r="C14" s="804" t="e">
        <f ca="1">INDIRECT("'数据-取费表'!m"&amp;$G$1)+INDIRECT("'数据-取费表'!t"&amp;$G$1)</f>
        <v>#N/A</v>
      </c>
      <c r="D14" s="3176" t="s">
        <v>1746</v>
      </c>
      <c r="E14" s="3175"/>
      <c r="F14" s="805"/>
      <c r="G14" s="1593"/>
      <c r="H14" s="1650" t="s">
        <v>1825</v>
      </c>
      <c r="I14" s="2232" t="s">
        <v>2825</v>
      </c>
      <c r="J14" s="53" t="e">
        <f ca="1">C29</f>
        <v>#N/A</v>
      </c>
      <c r="K14" s="26"/>
      <c r="L14" s="801"/>
      <c r="M14" s="802"/>
    </row>
    <row r="15" spans="1:33" s="2065" customFormat="1" ht="18" customHeight="1" thickBot="1">
      <c r="A15" s="1649" t="s">
        <v>1833</v>
      </c>
      <c r="B15" s="784" t="s">
        <v>647</v>
      </c>
      <c r="C15" s="53" t="e">
        <f ca="1">ROUND(C14*F15,0)</f>
        <v>#N/A</v>
      </c>
      <c r="D15" s="806" t="s">
        <v>1747</v>
      </c>
      <c r="E15" s="806" t="s">
        <v>1748</v>
      </c>
      <c r="F15" s="807">
        <f>'数据-取费表'!B33</f>
        <v>0.03</v>
      </c>
      <c r="G15" s="1594"/>
      <c r="H15" s="2531" t="s">
        <v>1890</v>
      </c>
      <c r="I15" s="2526" t="s">
        <v>1745</v>
      </c>
      <c r="J15" s="2535" t="e">
        <f ca="1">INDIRECT("'数据-取费表'!ad"&amp;$G$1)</f>
        <v>#N/A</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t="e">
        <f ca="1">ROUND(INDIRECT("'数据-取费表'!m"&amp;$G$1)*F16,0)</f>
        <v>#N/A</v>
      </c>
      <c r="D16" s="784" t="s">
        <v>1747</v>
      </c>
      <c r="E16" s="784" t="s">
        <v>1748</v>
      </c>
      <c r="F16" s="809" t="e">
        <f ca="1">IF(INDIRECT("'数据-取费表'!c"&amp;$G$1)="住宅",'数据-取费表'!B34,0)</f>
        <v>#N/A</v>
      </c>
      <c r="G16" s="1593"/>
      <c r="H16" s="1830" t="s">
        <v>7</v>
      </c>
      <c r="I16" s="1828" t="s">
        <v>1750</v>
      </c>
      <c r="J16" s="792" t="e">
        <f ca="1">ROUND(J17+J22+J23+J24,0)</f>
        <v>#N/A</v>
      </c>
      <c r="K16" s="1822" t="s">
        <v>1751</v>
      </c>
      <c r="L16" s="3178"/>
      <c r="M16" s="2471"/>
    </row>
    <row r="17" spans="1:33" s="2065" customFormat="1" ht="18" customHeight="1">
      <c r="A17" s="1649" t="s">
        <v>1888</v>
      </c>
      <c r="B17" s="784" t="s">
        <v>653</v>
      </c>
      <c r="C17" s="53" t="e">
        <f ca="1">ROUND(F17*(F43+INDIRECT("'数据-取费表'!S"&amp;$G$1))/10000,0)</f>
        <v>#N/A</v>
      </c>
      <c r="D17" s="784" t="s">
        <v>1752</v>
      </c>
      <c r="E17" s="784" t="s">
        <v>1753</v>
      </c>
      <c r="F17" s="56">
        <f>'数据-取费表'!B35</f>
        <v>200</v>
      </c>
      <c r="G17" s="1594"/>
      <c r="H17" s="1650" t="s">
        <v>1825</v>
      </c>
      <c r="I17" s="784" t="s">
        <v>656</v>
      </c>
      <c r="J17" s="53" t="e">
        <f ca="1">ROUND(IF(项目基本情况!B11="自然人",J5*M17,J18+J19+J20),0)</f>
        <v>#N/A</v>
      </c>
      <c r="K17" s="3176" t="s">
        <v>1754</v>
      </c>
      <c r="L17" s="3177" t="s">
        <v>1755</v>
      </c>
      <c r="M17" s="810" t="e">
        <f ca="1">IF(项目基本情况!B11="企业","",IF(INDIRECT("'数据-取费表'!c"&amp;$G$1)="住宅",5%,IF(M6*M7*M8/12/(1+'数据-取费表'!C42)&gt;20000,12%,7%)))</f>
        <v>#N/A</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t="e">
        <f ca="1">ROUND(C14*F18,0)</f>
        <v>#N/A</v>
      </c>
      <c r="D18" s="784" t="s">
        <v>1747</v>
      </c>
      <c r="E18" s="784" t="s">
        <v>1748</v>
      </c>
      <c r="F18" s="809">
        <f>'数据-取费表'!B36</f>
        <v>1.4999999999999999E-2</v>
      </c>
      <c r="G18" s="1594"/>
      <c r="H18" s="1649" t="s">
        <v>1832</v>
      </c>
      <c r="I18" s="784" t="s">
        <v>1756</v>
      </c>
      <c r="J18" s="53" t="e">
        <f ca="1">ROUND(J5*M18/1.05,1)</f>
        <v>#N/A</v>
      </c>
      <c r="K18" s="3177"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t="e">
        <f ca="1">SUM(C14:C18)</f>
        <v>#N/A</v>
      </c>
      <c r="D19" s="261" t="s">
        <v>1758</v>
      </c>
      <c r="E19" s="3179"/>
      <c r="F19" s="56"/>
      <c r="G19" s="1593"/>
      <c r="H19" s="1649" t="s">
        <v>1833</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50" t="s">
        <v>1890</v>
      </c>
      <c r="B20" s="784" t="s">
        <v>666</v>
      </c>
      <c r="C20" s="53" t="e">
        <f ca="1">ROUND(C19*F20,0)</f>
        <v>#N/A</v>
      </c>
      <c r="D20" s="812" t="s">
        <v>1760</v>
      </c>
      <c r="E20" s="784" t="s">
        <v>1748</v>
      </c>
      <c r="F20" s="809">
        <f>'数据-取费表'!B37</f>
        <v>0.02</v>
      </c>
      <c r="G20" s="1594"/>
      <c r="H20" s="1652" t="s">
        <v>1834</v>
      </c>
      <c r="I20" s="341" t="s">
        <v>1761</v>
      </c>
      <c r="J20" s="54" t="e">
        <f ca="1">ROUND(M20*M21/10000,0)</f>
        <v>#N/A</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v>
      </c>
      <c r="D21" s="812" t="s">
        <v>2299</v>
      </c>
      <c r="E21" s="784" t="s">
        <v>1766</v>
      </c>
      <c r="F21" s="809">
        <f>'数据-取费表'!B38</f>
        <v>2.5000000000000001E-2</v>
      </c>
      <c r="G21" s="1594"/>
      <c r="H21" s="2486"/>
      <c r="I21" s="793"/>
      <c r="J21" s="69"/>
      <c r="K21" s="816"/>
      <c r="L21" s="784" t="s">
        <v>1767</v>
      </c>
      <c r="M21" s="785" t="e">
        <f ca="1">INDIRECT("'数据-取费表'!r"&amp;$G$1)</f>
        <v>#N/A</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3179"/>
      <c r="F22" s="56"/>
      <c r="G22" s="1593"/>
      <c r="H22" s="1650" t="s">
        <v>1890</v>
      </c>
      <c r="I22" s="784" t="s">
        <v>1769</v>
      </c>
      <c r="J22" s="53" t="e">
        <f ca="1">ROUND(J14*M22,0)</f>
        <v>#N/A</v>
      </c>
      <c r="K22" s="3177" t="s">
        <v>1770</v>
      </c>
      <c r="L22" s="784" t="s">
        <v>1748</v>
      </c>
      <c r="M22" s="817" t="e">
        <f ca="1">INDIRECT("'数据-取费表'!Ak"&amp;$G$1)</f>
        <v>#N/A</v>
      </c>
    </row>
    <row r="23" spans="1:33" s="2065" customFormat="1" ht="18" customHeight="1">
      <c r="A23" s="1649" t="s">
        <v>1832</v>
      </c>
      <c r="B23" s="784" t="s">
        <v>2438</v>
      </c>
      <c r="C23" s="53" t="e">
        <f ca="1">ROUND(IF('数据-取费表'!B22&lt;=1,(C19+C20)*F24*F23/2,(C19+C20)*(POWER((1+F24),F23/2)-1)),0)</f>
        <v>#N/A</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3177" t="s">
        <v>1772</v>
      </c>
      <c r="L23" s="784" t="s">
        <v>1748</v>
      </c>
      <c r="M23" s="818" t="e">
        <f ca="1">INDIRECT("'数据-取费表'!Al"&amp;$G$1)</f>
        <v>#N/A</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t="e">
        <f ca="1">ROUND(J5*M24,0)</f>
        <v>#N/A</v>
      </c>
      <c r="K24" s="2525" t="s">
        <v>1775</v>
      </c>
      <c r="L24" s="2526" t="s">
        <v>1748</v>
      </c>
      <c r="M24" s="2522" t="e">
        <f ca="1">INDIRECT("'数据-取费表'!Am"&amp;$G$1)</f>
        <v>#N/A</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79"/>
      <c r="F25" s="56"/>
      <c r="G25" s="1593"/>
      <c r="H25" s="1830" t="s">
        <v>1777</v>
      </c>
      <c r="I25" s="2986" t="s">
        <v>2822</v>
      </c>
      <c r="J25" s="792" t="e">
        <f ca="1">J5-J16</f>
        <v>#N/A</v>
      </c>
      <c r="K25" s="2528" t="s">
        <v>700</v>
      </c>
      <c r="L25" s="2529"/>
      <c r="M25" s="2530"/>
    </row>
    <row r="26" spans="1:33" ht="18" customHeight="1">
      <c r="A26" s="1649" t="s">
        <v>1832</v>
      </c>
      <c r="B26" s="784" t="s">
        <v>2439</v>
      </c>
      <c r="C26" s="53" t="e">
        <f ca="1">ROUND((C19+C20)*F26,0)</f>
        <v>#N/A</v>
      </c>
      <c r="D26" s="812" t="s">
        <v>701</v>
      </c>
      <c r="E26" s="795" t="s">
        <v>702</v>
      </c>
      <c r="F26" s="794" t="e">
        <f ca="1">INDIRECT("'数据-取费表'!q"&amp;$G$1)</f>
        <v>#N/A</v>
      </c>
      <c r="G26" s="1593"/>
      <c r="H26" s="2482" t="s">
        <v>1781</v>
      </c>
      <c r="I26" s="2233" t="s">
        <v>2827</v>
      </c>
      <c r="J26" s="783" t="e">
        <f ca="1">IF(J5&lt;&gt;0,ROUND(J25*(1-((1+M28)/(1+M26))^M27)/(M26-M28),0),0)</f>
        <v>#N/A</v>
      </c>
      <c r="K26" s="814" t="s">
        <v>704</v>
      </c>
      <c r="L26" s="784" t="s">
        <v>2420</v>
      </c>
      <c r="M26" s="794" t="e">
        <f ca="1">INDIRECT("'数据-取费表'!I"&amp;$G$1)</f>
        <v>#N/A</v>
      </c>
    </row>
    <row r="27" spans="1:33" ht="18" customHeight="1">
      <c r="A27" s="1649" t="s">
        <v>1833</v>
      </c>
      <c r="B27" s="784" t="s">
        <v>686</v>
      </c>
      <c r="C27" s="53" t="e">
        <f ca="1">ROUND(F21*F26,4)</f>
        <v>#N/A</v>
      </c>
      <c r="D27" s="812" t="s">
        <v>706</v>
      </c>
      <c r="E27" s="806"/>
      <c r="F27" s="807"/>
      <c r="G27" s="1593"/>
      <c r="H27" s="2483"/>
      <c r="I27" s="787"/>
      <c r="J27" s="788"/>
      <c r="K27" s="821" t="s">
        <v>1784</v>
      </c>
      <c r="L27" s="784" t="s">
        <v>708</v>
      </c>
      <c r="M27" s="822" t="e">
        <f ca="1">INDIRECT("'数据-取费表'!ag"&amp;$G$1)</f>
        <v>#N/A</v>
      </c>
    </row>
    <row r="28" spans="1:33" s="2065" customFormat="1" ht="18" customHeight="1">
      <c r="A28" s="1651" t="s">
        <v>1842</v>
      </c>
      <c r="B28" s="784" t="s">
        <v>687</v>
      </c>
      <c r="C28" s="53">
        <f>ROUND(F28/(1+'数据-取费表'!C42),4)</f>
        <v>5.33E-2</v>
      </c>
      <c r="D28" s="812" t="s">
        <v>2300</v>
      </c>
      <c r="E28" s="784" t="s">
        <v>1748</v>
      </c>
      <c r="F28" s="809">
        <f>'数据-取费表'!B41</f>
        <v>5.6000000000000001E-2</v>
      </c>
      <c r="G28" s="1594"/>
      <c r="H28" s="1830"/>
      <c r="I28" s="791"/>
      <c r="J28" s="792"/>
      <c r="K28" s="816"/>
      <c r="L28" s="784" t="s">
        <v>1787</v>
      </c>
      <c r="M28" s="794" t="e">
        <f ca="1">INDIRECT("'数据-取费表'!aa"&amp;$G$1)</f>
        <v>#N/A</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t="e">
        <f ca="1">ROUND((C19+C20+C23+C26)/(1-F21-C24-C27-C28),0)</f>
        <v>#N/A</v>
      </c>
      <c r="D29" s="2525"/>
      <c r="E29" s="2526"/>
      <c r="F29" s="2527"/>
      <c r="G29" s="1594"/>
      <c r="H29" s="823" t="s">
        <v>1788</v>
      </c>
      <c r="I29" s="824" t="s">
        <v>1789</v>
      </c>
      <c r="J29" s="825" t="e">
        <f ca="1">ROUND(J26/(1+F40)^F41,0)</f>
        <v>#N/A</v>
      </c>
      <c r="K29" s="826" t="s">
        <v>1790</v>
      </c>
      <c r="L29" s="827"/>
      <c r="M29" s="828" t="e">
        <f ca="1">INDIRECT("'数据-取费表'!k"&amp;$G$1)</f>
        <v>#N/A</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1750</v>
      </c>
      <c r="C30" s="792" t="e">
        <f ca="1">ROUND(C31+C36+C37+C38,0)</f>
        <v>#N/A</v>
      </c>
      <c r="D30" s="1822" t="s">
        <v>1751</v>
      </c>
      <c r="E30" s="3178"/>
      <c r="F30" s="2471"/>
      <c r="G30" s="2063"/>
      <c r="H30" s="2066"/>
      <c r="I30" s="2067"/>
      <c r="J30" s="2068"/>
      <c r="K30" s="2069"/>
      <c r="L30" s="2070"/>
      <c r="M30" s="2071"/>
    </row>
    <row r="31" spans="1:33" ht="18" customHeight="1">
      <c r="A31" s="1650" t="s">
        <v>1825</v>
      </c>
      <c r="B31" s="784" t="s">
        <v>656</v>
      </c>
      <c r="C31" s="53" t="e">
        <f ca="1">ROUND(IF(项目基本情况!B11="自然人",C5*F31,C32+C33+C34),1)</f>
        <v>#N/A</v>
      </c>
      <c r="D31" s="3176" t="s">
        <v>1754</v>
      </c>
      <c r="E31" s="3177"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9" t="s">
        <v>1832</v>
      </c>
      <c r="B32" s="784" t="s">
        <v>1756</v>
      </c>
      <c r="C32" s="53" t="e">
        <f ca="1">ROUND(C5*F32/1.05,1)</f>
        <v>#N/A</v>
      </c>
      <c r="D32" s="3177" t="s">
        <v>1757</v>
      </c>
      <c r="E32" s="784" t="s">
        <v>1748</v>
      </c>
      <c r="F32" s="809">
        <f>'数据-取费表'!B41</f>
        <v>5.6000000000000001E-2</v>
      </c>
      <c r="G32" s="2063"/>
      <c r="H32" s="2072"/>
      <c r="I32" s="2073"/>
      <c r="J32" s="2074"/>
      <c r="K32" s="2075"/>
      <c r="L32" s="2076"/>
      <c r="M32" s="2077"/>
    </row>
    <row r="33" spans="1:18" ht="18" customHeight="1">
      <c r="A33" s="1649" t="s">
        <v>1833</v>
      </c>
      <c r="B33" s="784" t="s">
        <v>1759</v>
      </c>
      <c r="C33" s="53" t="e">
        <f ca="1">IF(D33="按租金收入计税",ROUND(C5*F33,1),IF(D33="按房产原值计税",ROUND(C29*F33*0.7,1),INDIRECT("'数据-取费表'!Aj"&amp;$G$1)))</f>
        <v>#N/A</v>
      </c>
      <c r="D33" s="811" t="s">
        <v>3016</v>
      </c>
      <c r="E33" s="784" t="s">
        <v>1748</v>
      </c>
      <c r="F33" s="809">
        <f>IF(D33="按租金收入计税",'数据-取费表'!B51,'数据-取费表'!B50)</f>
        <v>0.12</v>
      </c>
      <c r="G33" s="2063"/>
      <c r="H33" s="2078"/>
      <c r="I33" s="2078"/>
      <c r="J33" s="2078"/>
      <c r="K33" s="2079"/>
      <c r="L33" s="2078"/>
      <c r="M33" s="2078"/>
    </row>
    <row r="34" spans="1:18" ht="18" customHeight="1">
      <c r="A34" s="1652" t="s">
        <v>1834</v>
      </c>
      <c r="B34" s="341" t="s">
        <v>1761</v>
      </c>
      <c r="C34" s="54" t="e">
        <f ca="1">ROUND(F34*F35/10000,1)</f>
        <v>#N/A</v>
      </c>
      <c r="D34" s="814" t="s">
        <v>1762</v>
      </c>
      <c r="E34" s="784" t="s">
        <v>1763</v>
      </c>
      <c r="F34" s="640">
        <f>'数据-取费表'!B52</f>
        <v>12</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50" t="s">
        <v>1890</v>
      </c>
      <c r="B36" s="784" t="s">
        <v>1769</v>
      </c>
      <c r="C36" s="53" t="e">
        <f ca="1">ROUND(C29*F36,1)</f>
        <v>#N/A</v>
      </c>
      <c r="D36" s="3177" t="s">
        <v>1804</v>
      </c>
      <c r="E36" s="784" t="s">
        <v>1748</v>
      </c>
      <c r="F36" s="817" t="e">
        <f ca="1">INDIRECT("'数据-取费表'!Ak"&amp;$G$1)</f>
        <v>#N/A</v>
      </c>
      <c r="G36" s="2063"/>
      <c r="H36" s="2078"/>
      <c r="I36" s="839" t="s">
        <v>1816</v>
      </c>
      <c r="J36" s="840" t="e">
        <f ca="1">INDIRECT("'数据-取费表'!j"&amp;$G$1)</f>
        <v>#N/A</v>
      </c>
      <c r="K36" s="2083"/>
      <c r="L36" s="2078"/>
      <c r="M36" s="2078"/>
    </row>
    <row r="37" spans="1:18" ht="18" customHeight="1">
      <c r="A37" s="1650" t="s">
        <v>1891</v>
      </c>
      <c r="B37" s="784" t="s">
        <v>679</v>
      </c>
      <c r="C37" s="53" t="e">
        <f ca="1">ROUND(C13*F37,1)</f>
        <v>#N/A</v>
      </c>
      <c r="D37" s="3177" t="s">
        <v>1772</v>
      </c>
      <c r="E37" s="784" t="s">
        <v>1748</v>
      </c>
      <c r="F37" s="818" t="e">
        <f ca="1">INDIRECT("'数据-取费表'!Al"&amp;$G$1)</f>
        <v>#N/A</v>
      </c>
      <c r="G37" s="2063"/>
      <c r="H37" s="2078"/>
      <c r="I37" s="841" t="s">
        <v>1817</v>
      </c>
      <c r="J37" s="842"/>
      <c r="K37" s="2083"/>
      <c r="L37" s="2078"/>
      <c r="M37" s="2078"/>
    </row>
    <row r="38" spans="1:18" ht="18" customHeight="1" thickBot="1">
      <c r="A38" s="2531" t="s">
        <v>1892</v>
      </c>
      <c r="B38" s="2526" t="s">
        <v>666</v>
      </c>
      <c r="C38" s="2524" t="e">
        <f ca="1">ROUND(C5*F38,1)</f>
        <v>#N/A</v>
      </c>
      <c r="D38" s="2525" t="s">
        <v>1775</v>
      </c>
      <c r="E38" s="2526" t="s">
        <v>1748</v>
      </c>
      <c r="F38" s="2522" t="e">
        <f ca="1">INDIRECT("'数据-取费表'!Am"&amp;$G$1)</f>
        <v>#N/A</v>
      </c>
      <c r="G38" s="2063"/>
      <c r="H38" s="2078"/>
      <c r="I38" s="843" t="s">
        <v>1818</v>
      </c>
      <c r="J38" s="844"/>
      <c r="K38" s="2084"/>
      <c r="L38" s="2078"/>
      <c r="M38" s="2078"/>
    </row>
    <row r="39" spans="1:18" ht="24.6" customHeight="1" thickTop="1">
      <c r="A39" s="1830" t="s">
        <v>1777</v>
      </c>
      <c r="B39" s="2986" t="s">
        <v>2822</v>
      </c>
      <c r="C39" s="792" t="e">
        <f ca="1">C5-C30</f>
        <v>#N/A</v>
      </c>
      <c r="D39" s="2528" t="s">
        <v>700</v>
      </c>
      <c r="E39" s="2529"/>
      <c r="F39" s="2530"/>
      <c r="G39" s="2063"/>
      <c r="H39" s="2078"/>
      <c r="I39" s="837" t="s">
        <v>1819</v>
      </c>
      <c r="J39" s="845" t="e">
        <f ca="1">ROUND(J35/C39,3)</f>
        <v>#N/A</v>
      </c>
      <c r="K39" s="2084"/>
      <c r="L39" s="2078"/>
      <c r="M39" s="2078"/>
    </row>
    <row r="40" spans="1:18" ht="18" customHeight="1">
      <c r="A40" s="781" t="s">
        <v>1781</v>
      </c>
      <c r="B40" s="2233" t="s">
        <v>2302</v>
      </c>
      <c r="C40" s="783" t="e">
        <f ca="1">ROUND(C39*(1-((1+F42)/(1+F40))^F41)/(F40-F42),0)</f>
        <v>#N/A</v>
      </c>
      <c r="D40" s="814" t="s">
        <v>704</v>
      </c>
      <c r="E40" s="784" t="s">
        <v>2420</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708</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#N/A</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t="e">
        <f ca="1">C48+C52+C54</f>
        <v>#N/A</v>
      </c>
      <c r="D47" s="2086"/>
      <c r="E47" s="2086"/>
      <c r="F47" s="2086"/>
      <c r="I47" s="3121" t="s">
        <v>2345</v>
      </c>
      <c r="J47" s="2361" t="s">
        <v>3015</v>
      </c>
      <c r="K47" s="3128" t="s">
        <v>2350</v>
      </c>
      <c r="L47" s="3132" t="e">
        <f ca="1">INDIRECT("'数据-取费表'!d"&amp;$G$1)</f>
        <v>#N/A</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2538</v>
      </c>
      <c r="C48" s="2354" t="e">
        <f ca="1">ROUND(F48*F50*F49*(1-F51)/10000,0)</f>
        <v>#N/A</v>
      </c>
      <c r="D48" s="2355" t="s">
        <v>636</v>
      </c>
      <c r="E48" s="2356" t="s">
        <v>2297</v>
      </c>
      <c r="F48" s="2357"/>
      <c r="G48" s="2091"/>
      <c r="I48" s="3100" t="s">
        <v>2346</v>
      </c>
      <c r="J48" s="2362" t="s">
        <v>2351</v>
      </c>
      <c r="K48" s="3129" t="s">
        <v>2352</v>
      </c>
      <c r="L48" s="1909" t="e">
        <f ca="1">INDIRECT("'数据-取费表'!f"&amp;$G$1)</f>
        <v>#N/A</v>
      </c>
      <c r="O48" s="2378" t="s">
        <v>2380</v>
      </c>
      <c r="P48" s="2379" t="s">
        <v>2406</v>
      </c>
      <c r="Q48" s="2380" t="e">
        <f ca="1">C40+J29</f>
        <v>#N/A</v>
      </c>
      <c r="R48" s="2379" t="s">
        <v>2381</v>
      </c>
    </row>
    <row r="49" spans="1:18" s="2060" customFormat="1" ht="18" customHeight="1" thickBot="1">
      <c r="A49" s="786"/>
      <c r="B49" s="787"/>
      <c r="C49" s="788"/>
      <c r="D49" s="789"/>
      <c r="E49" s="784" t="s">
        <v>1740</v>
      </c>
      <c r="F49" s="785" t="e">
        <f ca="1">F7</f>
        <v>#N/A</v>
      </c>
      <c r="G49" s="2091"/>
      <c r="H49" s="2094"/>
      <c r="I49" s="3100" t="s">
        <v>2347</v>
      </c>
      <c r="J49" s="2363">
        <v>2019</v>
      </c>
      <c r="K49" s="3130" t="s">
        <v>2353</v>
      </c>
      <c r="L49" s="2364"/>
      <c r="O49" s="2378" t="s">
        <v>2382</v>
      </c>
      <c r="P49" s="2379" t="s">
        <v>2407</v>
      </c>
      <c r="Q49" s="2380" t="e">
        <f ca="1">J60</f>
        <v>#N/A</v>
      </c>
      <c r="R49" s="2379" t="s">
        <v>2383</v>
      </c>
    </row>
    <row r="50" spans="1:18" s="2060" customFormat="1" ht="18" customHeight="1" thickBot="1">
      <c r="A50" s="786"/>
      <c r="B50" s="787"/>
      <c r="C50" s="788"/>
      <c r="D50" s="789"/>
      <c r="E50" s="784" t="s">
        <v>1741</v>
      </c>
      <c r="F50" s="785" t="e">
        <f ca="1">F8</f>
        <v>#N/A</v>
      </c>
      <c r="G50" s="2096"/>
      <c r="H50" s="2094"/>
      <c r="I50" s="3100" t="s">
        <v>2348</v>
      </c>
      <c r="J50" s="3125">
        <f>SUMPRODUCT((I63:I65=J47)*(J62:L62=J48)*(J63:L65))</f>
        <v>60</v>
      </c>
      <c r="K50" s="3130" t="s">
        <v>2354</v>
      </c>
      <c r="L50" s="2364"/>
      <c r="O50" s="2381" t="s">
        <v>2384</v>
      </c>
      <c r="P50" s="2379" t="s">
        <v>2408</v>
      </c>
      <c r="Q50" s="2380" t="e">
        <f ca="1">C29</f>
        <v>#N/A</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t="e">
        <f ca="1">ROUND(-PV(INDIRECT("'数据-取费表'!h"&amp;$G$1),L48,(C39-C13*J36),0),0)</f>
        <v>#N/A</v>
      </c>
      <c r="O51" s="2381" t="s">
        <v>2385</v>
      </c>
      <c r="P51" s="2379" t="s">
        <v>2386</v>
      </c>
      <c r="Q51" s="2382" t="e">
        <f ca="1">J58</f>
        <v>#N/A</v>
      </c>
      <c r="R51" s="2383"/>
    </row>
    <row r="52" spans="1:18" s="2060" customFormat="1" ht="18" customHeight="1" thickBot="1">
      <c r="A52" s="781" t="s">
        <v>2536</v>
      </c>
      <c r="B52" s="2474" t="s">
        <v>2459</v>
      </c>
      <c r="C52" s="799">
        <f ca="1">ROUND(IF(F52="押一",C48/12*F11,IF(F52="押二",C48/12*2*F11,IF(F52="押三",C48/12*3*F11,C53*F11))),0)</f>
        <v>0</v>
      </c>
      <c r="D52" s="2481" t="s">
        <v>2976</v>
      </c>
      <c r="E52" s="2478" t="s">
        <v>2464</v>
      </c>
      <c r="F52" s="2601"/>
      <c r="I52" s="3123" t="s">
        <v>2422</v>
      </c>
      <c r="J52" s="2365"/>
      <c r="K52" s="3123" t="s">
        <v>2421</v>
      </c>
      <c r="L52" s="2365"/>
      <c r="O52" s="2381" t="s">
        <v>2387</v>
      </c>
      <c r="P52" s="2379" t="s">
        <v>2388</v>
      </c>
      <c r="Q52" s="2382">
        <f>J52</f>
        <v>0</v>
      </c>
      <c r="R52" s="2383"/>
    </row>
    <row r="53" spans="1:18" s="2060" customFormat="1" ht="39.75" customHeight="1" thickBot="1">
      <c r="A53" s="786"/>
      <c r="B53" s="2475" t="s">
        <v>2573</v>
      </c>
      <c r="C53" s="2479"/>
      <c r="D53" s="2481"/>
      <c r="E53" s="2478"/>
      <c r="F53" s="800"/>
      <c r="I53" s="3124" t="s">
        <v>2980</v>
      </c>
      <c r="J53" s="3127" t="e">
        <f ca="1">IF(M47="住宅",IF(D1="——",MAX(J51,L48),MAX(J51,L48-'数据-取费表'!B20)),IF(D1="——",MIN(J51,L48),MIN(J51,L48-'数据-取费表'!B20)))</f>
        <v>#N/A</v>
      </c>
      <c r="K53" s="3475" t="s">
        <v>2968</v>
      </c>
      <c r="L53" s="3476"/>
      <c r="O53" s="2381" t="s">
        <v>2389</v>
      </c>
      <c r="P53" s="2379" t="s">
        <v>2390</v>
      </c>
      <c r="Q53" s="2380" t="e">
        <f ca="1">J53</f>
        <v>#N/A</v>
      </c>
      <c r="R53" s="2379" t="s">
        <v>2391</v>
      </c>
    </row>
    <row r="54" spans="1:18" s="2060" customFormat="1" ht="18" customHeight="1" thickBot="1">
      <c r="A54" s="2517" t="s">
        <v>2467</v>
      </c>
      <c r="B54" s="2518" t="s">
        <v>2460</v>
      </c>
      <c r="C54" s="2519"/>
      <c r="D54" s="2481"/>
      <c r="E54" s="2478"/>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78" t="s">
        <v>2392</v>
      </c>
      <c r="P54" s="2379" t="s">
        <v>2409</v>
      </c>
      <c r="Q54" s="2380" t="e">
        <f ca="1">Q48+Q49</f>
        <v>#N/A</v>
      </c>
      <c r="R54" s="2383" t="s">
        <v>2393</v>
      </c>
    </row>
    <row r="55" spans="1:18" s="2060" customFormat="1" ht="18" customHeight="1" thickTop="1" thickBot="1">
      <c r="A55" s="797">
        <v>2</v>
      </c>
      <c r="B55" s="798" t="s">
        <v>644</v>
      </c>
      <c r="C55" s="799" t="e">
        <f ca="1">C13</f>
        <v>#N/A</v>
      </c>
      <c r="D55" s="795"/>
      <c r="E55" s="795"/>
      <c r="F55" s="800"/>
      <c r="I55" s="3136" t="s">
        <v>2356</v>
      </c>
      <c r="J55" s="3075" t="e">
        <f ca="1">ROUND(IF(J47="钢混",J57/J50,1-(1-2%)*(J50-J57)/J50),3)</f>
        <v>#N/A</v>
      </c>
      <c r="K55" s="3137" t="s">
        <v>2357</v>
      </c>
      <c r="L55" s="2366"/>
      <c r="O55" s="2384" t="s">
        <v>2412</v>
      </c>
      <c r="P55" s="1593"/>
      <c r="Q55" s="1605"/>
      <c r="R55" s="1593"/>
    </row>
    <row r="56" spans="1:18" s="2060" customFormat="1" ht="42.75" customHeight="1" thickBot="1">
      <c r="A56" s="1651"/>
      <c r="B56" s="2232" t="s">
        <v>2301</v>
      </c>
      <c r="C56" s="53" t="e">
        <f ca="1">C29</f>
        <v>#N/A</v>
      </c>
      <c r="D56" s="3177"/>
      <c r="E56" s="784"/>
      <c r="F56" s="809"/>
      <c r="I56" s="3138" t="s">
        <v>2358</v>
      </c>
      <c r="J56" s="3148" t="s">
        <v>1679</v>
      </c>
      <c r="K56" s="3100" t="s">
        <v>2363</v>
      </c>
      <c r="L56" s="1909" t="e">
        <f ca="1">IF(L48&lt;J51,"——",L48-J51)</f>
        <v>#N/A</v>
      </c>
      <c r="O56" s="2375" t="s">
        <v>2376</v>
      </c>
      <c r="P56" s="2376" t="s">
        <v>2377</v>
      </c>
      <c r="Q56" s="2377" t="s">
        <v>2378</v>
      </c>
      <c r="R56" s="2376" t="s">
        <v>2379</v>
      </c>
    </row>
    <row r="57" spans="1:18" s="2060" customFormat="1" ht="28.5" customHeight="1" thickBot="1">
      <c r="A57" s="797" t="s">
        <v>7</v>
      </c>
      <c r="B57" s="798" t="s">
        <v>651</v>
      </c>
      <c r="C57" s="799" t="e">
        <f ca="1">ROUND(C58+C63+C64+C65,0)</f>
        <v>#N/A</v>
      </c>
      <c r="D57" s="26" t="s">
        <v>1751</v>
      </c>
      <c r="E57" s="3179"/>
      <c r="F57" s="56"/>
      <c r="I57" s="3139" t="s">
        <v>2359</v>
      </c>
      <c r="J57" s="3140" t="e">
        <f ca="1">IF(OR(M47="住宅",J51&lt;L48,J56="是"),"——",J51-L48)</f>
        <v>#N/A</v>
      </c>
      <c r="K57" s="3100" t="s">
        <v>2364</v>
      </c>
      <c r="L57" s="1909" t="e">
        <f ca="1">IF(L48&lt;J51,"——",IF(L55="比较法",L49,IF(L55="基准地价",L50,L51)))</f>
        <v>#N/A</v>
      </c>
      <c r="O57" s="2378" t="s">
        <v>2380</v>
      </c>
      <c r="P57" s="2379" t="s">
        <v>2406</v>
      </c>
      <c r="Q57" s="2380" t="e">
        <f ca="1">C40+J29</f>
        <v>#N/A</v>
      </c>
      <c r="R57" s="2379" t="s">
        <v>2381</v>
      </c>
    </row>
    <row r="58" spans="1:18" s="2060" customFormat="1" ht="28.5" customHeight="1" thickBot="1">
      <c r="A58" s="1650" t="s">
        <v>1825</v>
      </c>
      <c r="B58" s="784" t="s">
        <v>656</v>
      </c>
      <c r="C58" s="53" t="e">
        <f ca="1">ROUND(IF(项目基本情况!B11="自然人",C47*F58,C59+C60+C61),1)</f>
        <v>#N/A</v>
      </c>
      <c r="D58" s="3176" t="s">
        <v>657</v>
      </c>
      <c r="E58" s="3177" t="s">
        <v>690</v>
      </c>
      <c r="F58" s="810" t="e">
        <f ca="1">IF(项目基本情况!B11="企业","",IF(INDIRECT("'数据-取费表'!c"&amp;$G$1)="住宅",5%,IF(F48*F49*F50/12/(1+'数据-取费表'!C42)&gt;20000,12%,7%)))</f>
        <v>#N/A</v>
      </c>
      <c r="I58" s="3139" t="s">
        <v>2360</v>
      </c>
      <c r="J58" s="3076" t="e">
        <f ca="1">IF(J55&lt;0.4,0.4,J55)</f>
        <v>#N/A</v>
      </c>
      <c r="K58" s="3100" t="s">
        <v>2365</v>
      </c>
      <c r="L58" s="1909" t="e">
        <f ca="1">ROUND(POWER(1+L52,L47-L48)*(POWER(1+L52,L48)-1)/(POWER(1+L52,L47)-1),4)</f>
        <v>#N/A</v>
      </c>
      <c r="O58" s="2378" t="s">
        <v>2382</v>
      </c>
      <c r="P58" s="2379" t="s">
        <v>2413</v>
      </c>
      <c r="Q58" s="2380" t="e">
        <f ca="1">L60</f>
        <v>#N/A</v>
      </c>
      <c r="R58" s="2383" t="s">
        <v>2415</v>
      </c>
    </row>
    <row r="59" spans="1:18" s="2060" customFormat="1" ht="28.5" customHeight="1" thickBot="1">
      <c r="A59" s="1649" t="s">
        <v>1832</v>
      </c>
      <c r="B59" s="784" t="s">
        <v>660</v>
      </c>
      <c r="C59" s="53" t="e">
        <f ca="1">ROUND(C47*F59/1.05,1)</f>
        <v>#N/A</v>
      </c>
      <c r="D59" s="3177" t="s">
        <v>1757</v>
      </c>
      <c r="E59" s="784" t="s">
        <v>1748</v>
      </c>
      <c r="F59" s="809">
        <f t="shared" ref="F59:F65" si="0">F32</f>
        <v>5.6000000000000001E-2</v>
      </c>
      <c r="I59" s="3139" t="s">
        <v>2361</v>
      </c>
      <c r="J59" s="3140" t="e">
        <f ca="1">IF(OR(M47="住宅",J51&lt;L48,J56="是"),"——",ROUND(C29*J58,0))</f>
        <v>#N/A</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381" t="s">
        <v>2384</v>
      </c>
      <c r="P59" s="2379" t="s">
        <v>2414</v>
      </c>
      <c r="Q59" s="2380">
        <f>IF(L55="比较法",L49,IF(L55="基准地价",L50,0))</f>
        <v>0</v>
      </c>
      <c r="R59" s="2379" t="s">
        <v>2381</v>
      </c>
    </row>
    <row r="60" spans="1:18" s="2060" customFormat="1" ht="18" customHeight="1" thickBot="1">
      <c r="A60" s="1649" t="s">
        <v>1833</v>
      </c>
      <c r="B60" s="784" t="s">
        <v>1759</v>
      </c>
      <c r="C60" s="53" t="e">
        <f ca="1">IF(D60="按租金收入计税",ROUND(C47*F60,1),IF(D60="按房产原值计税",ROUND(C56*F60*0.7,1),INDIRECT("'数据-取费表'!Aj"&amp;$G$1)))</f>
        <v>#N/A</v>
      </c>
      <c r="D60" s="3177" t="str">
        <f>D33</f>
        <v>按租金收入计税</v>
      </c>
      <c r="E60" s="784" t="s">
        <v>1748</v>
      </c>
      <c r="F60" s="809">
        <f t="shared" si="0"/>
        <v>0.12</v>
      </c>
      <c r="I60" s="3141" t="s">
        <v>2362</v>
      </c>
      <c r="J60" s="3142" t="e">
        <f ca="1">IF(OR(M47="住宅",J51&lt;L48,J56="是"),"0",ROUND(J59/(1+J52)^J53,0))</f>
        <v>#N/A</v>
      </c>
      <c r="K60" s="3143" t="s">
        <v>2367</v>
      </c>
      <c r="L60" s="3142" t="e">
        <f ca="1">IF(OR(M47="住宅",L48&lt;J51),0,ROUND(L57*(L58/L59-1),0))</f>
        <v>#N/A</v>
      </c>
      <c r="O60" s="2381" t="s">
        <v>2385</v>
      </c>
      <c r="P60" s="2379" t="s">
        <v>2394</v>
      </c>
      <c r="Q60" s="2382">
        <f>L52</f>
        <v>0</v>
      </c>
      <c r="R60" s="2383"/>
    </row>
    <row r="61" spans="1:18" s="2060" customFormat="1" ht="18" customHeight="1" thickBot="1">
      <c r="A61" s="1652" t="s">
        <v>1834</v>
      </c>
      <c r="B61" s="341" t="s">
        <v>668</v>
      </c>
      <c r="C61" s="54" t="e">
        <f ca="1">ROUND(F61*F62/10000,1)</f>
        <v>#N/A</v>
      </c>
      <c r="D61" s="814" t="s">
        <v>669</v>
      </c>
      <c r="E61" s="784" t="s">
        <v>670</v>
      </c>
      <c r="F61" s="640">
        <f t="shared" si="0"/>
        <v>12</v>
      </c>
      <c r="K61" s="2087"/>
      <c r="O61" s="2381" t="s">
        <v>2387</v>
      </c>
      <c r="P61" s="2379" t="s">
        <v>2395</v>
      </c>
      <c r="Q61" s="2380" t="e">
        <f ca="1">L58</f>
        <v>#N/A</v>
      </c>
      <c r="R61" s="2383" t="s">
        <v>2396</v>
      </c>
    </row>
    <row r="62" spans="1:18" s="2060" customFormat="1" ht="15.75" thickBot="1">
      <c r="A62" s="815"/>
      <c r="B62" s="793"/>
      <c r="C62" s="69"/>
      <c r="D62" s="816"/>
      <c r="E62" s="784" t="s">
        <v>674</v>
      </c>
      <c r="F62" s="785" t="e">
        <f t="shared" ca="1" si="0"/>
        <v>#N/A</v>
      </c>
      <c r="I62" s="3144" t="s">
        <v>2368</v>
      </c>
      <c r="J62" s="3145" t="s">
        <v>2369</v>
      </c>
      <c r="K62" s="3145" t="s">
        <v>2370</v>
      </c>
      <c r="L62" s="3145" t="s">
        <v>2351</v>
      </c>
      <c r="M62" s="3146" t="s">
        <v>2944</v>
      </c>
      <c r="O62" s="2381" t="s">
        <v>2389</v>
      </c>
      <c r="P62" s="2379" t="str">
        <f>K59</f>
        <v>建设期及建筑物耐用年限下的土地年期修正系数Kn</v>
      </c>
      <c r="Q62" s="2380" t="e">
        <f ca="1">L59</f>
        <v>#N/A</v>
      </c>
      <c r="R62" s="2383" t="s">
        <v>2398</v>
      </c>
    </row>
    <row r="63" spans="1:18" s="2060" customFormat="1" ht="15.75" thickBot="1">
      <c r="A63" s="1650" t="s">
        <v>1890</v>
      </c>
      <c r="B63" s="784" t="s">
        <v>676</v>
      </c>
      <c r="C63" s="53" t="e">
        <f ca="1">ROUND(C56*F63,1)</f>
        <v>#N/A</v>
      </c>
      <c r="D63" s="3177" t="s">
        <v>1804</v>
      </c>
      <c r="E63" s="784" t="s">
        <v>1748</v>
      </c>
      <c r="F63" s="817" t="e">
        <f t="shared" ca="1" si="0"/>
        <v>#N/A</v>
      </c>
      <c r="I63" s="3144" t="s">
        <v>2371</v>
      </c>
      <c r="J63" s="3145">
        <v>70</v>
      </c>
      <c r="K63" s="3145">
        <v>50</v>
      </c>
      <c r="L63" s="3145">
        <v>80</v>
      </c>
      <c r="M63" s="3147">
        <v>0.02</v>
      </c>
      <c r="O63" s="2378" t="s">
        <v>2392</v>
      </c>
      <c r="P63" s="2379" t="s">
        <v>2409</v>
      </c>
      <c r="Q63" s="2380" t="e">
        <f ca="1">Q57+Q58</f>
        <v>#N/A</v>
      </c>
      <c r="R63" s="2383" t="s">
        <v>2393</v>
      </c>
    </row>
    <row r="64" spans="1:18" s="2060" customFormat="1" ht="16.5" thickBot="1">
      <c r="A64" s="1650" t="s">
        <v>1891</v>
      </c>
      <c r="B64" s="784" t="s">
        <v>679</v>
      </c>
      <c r="C64" s="53" t="e">
        <f ca="1">ROUND(C55*F64,1)</f>
        <v>#N/A</v>
      </c>
      <c r="D64" s="3177" t="s">
        <v>680</v>
      </c>
      <c r="E64" s="784" t="s">
        <v>1748</v>
      </c>
      <c r="F64" s="818" t="e">
        <f t="shared" ca="1" si="0"/>
        <v>#N/A</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t="e">
        <f ca="1">ROUND(C47*F65,1)</f>
        <v>#N/A</v>
      </c>
      <c r="D65" s="3177" t="s">
        <v>683</v>
      </c>
      <c r="E65" s="784" t="s">
        <v>1748</v>
      </c>
      <c r="F65" s="794" t="e">
        <f t="shared" ca="1" si="0"/>
        <v>#N/A</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t="e">
        <f ca="1">C47-C57</f>
        <v>#N/A</v>
      </c>
      <c r="D66" s="3176" t="s">
        <v>700</v>
      </c>
      <c r="E66" s="3174"/>
      <c r="F66" s="820"/>
      <c r="K66" s="2087"/>
      <c r="O66" s="2378" t="s">
        <v>2380</v>
      </c>
      <c r="P66" s="2379" t="s">
        <v>2406</v>
      </c>
      <c r="Q66" s="2380" t="e">
        <f ca="1">C40+J29</f>
        <v>#N/A</v>
      </c>
      <c r="R66" s="2379" t="s">
        <v>2381</v>
      </c>
    </row>
    <row r="67" spans="1:18" s="2060" customFormat="1" ht="20.25" thickBot="1">
      <c r="A67" s="781" t="s">
        <v>1781</v>
      </c>
      <c r="B67" s="2233" t="s">
        <v>2302</v>
      </c>
      <c r="C67" s="783" t="e">
        <f ca="1">ROUND(C66*(1-((1+F69)/(1+F67))^F68)/(F67-F69),0)</f>
        <v>#N/A</v>
      </c>
      <c r="D67" s="814" t="s">
        <v>704</v>
      </c>
      <c r="E67" s="784" t="s">
        <v>705</v>
      </c>
      <c r="F67" s="794" t="e">
        <f ca="1">F40</f>
        <v>#N/A</v>
      </c>
      <c r="K67" s="2087"/>
      <c r="O67" s="2378" t="s">
        <v>2382</v>
      </c>
      <c r="P67" s="2379" t="s">
        <v>2413</v>
      </c>
      <c r="Q67" s="2380" t="e">
        <f ca="1">L60</f>
        <v>#N/A</v>
      </c>
      <c r="R67" s="2383" t="s">
        <v>2415</v>
      </c>
    </row>
    <row r="68" spans="1:18" ht="21.75" thickBot="1">
      <c r="A68" s="786"/>
      <c r="B68" s="787"/>
      <c r="C68" s="788"/>
      <c r="D68" s="821" t="s">
        <v>1809</v>
      </c>
      <c r="E68" s="784" t="s">
        <v>708</v>
      </c>
      <c r="F68" s="822" t="e">
        <f ca="1">F41</f>
        <v>#N/A</v>
      </c>
      <c r="O68" s="2381" t="s">
        <v>2384</v>
      </c>
      <c r="P68" s="2379" t="s">
        <v>2414</v>
      </c>
      <c r="Q68" s="2385" t="e">
        <f ca="1">L51</f>
        <v>#N/A</v>
      </c>
      <c r="R68" s="2386" t="s">
        <v>2417</v>
      </c>
    </row>
    <row r="69" spans="1:18" ht="20.25" thickBot="1">
      <c r="A69" s="790"/>
      <c r="B69" s="791"/>
      <c r="C69" s="792"/>
      <c r="D69" s="816"/>
      <c r="E69" s="784" t="s">
        <v>710</v>
      </c>
      <c r="F69" s="2351"/>
      <c r="O69" s="2381" t="s">
        <v>2385</v>
      </c>
      <c r="P69" s="2387" t="s">
        <v>2399</v>
      </c>
      <c r="Q69" s="2380" t="e">
        <f ca="1">ROUND(Q70-Q71*Q72,0)</f>
        <v>#N/A</v>
      </c>
      <c r="R69" s="2383"/>
    </row>
    <row r="70" spans="1:18" ht="15.75" thickBot="1">
      <c r="A70" s="823" t="s">
        <v>1788</v>
      </c>
      <c r="B70" s="824" t="s">
        <v>1811</v>
      </c>
      <c r="C70" s="825" t="e">
        <f ca="1">ROUND(C67*10000/F70,0)</f>
        <v>#N/A</v>
      </c>
      <c r="D70" s="826" t="s">
        <v>1812</v>
      </c>
      <c r="E70" s="827" t="s">
        <v>1813</v>
      </c>
      <c r="F70" s="828" t="e">
        <f ca="1">F43</f>
        <v>#N/A</v>
      </c>
      <c r="O70" s="2381" t="s">
        <v>2400</v>
      </c>
      <c r="P70" s="2387" t="s">
        <v>2401</v>
      </c>
      <c r="Q70" s="2380" t="e">
        <f ca="1">C39</f>
        <v>#N/A</v>
      </c>
      <c r="R70" s="2379" t="s">
        <v>2381</v>
      </c>
    </row>
    <row r="71" spans="1:18" ht="15.75" thickBot="1">
      <c r="O71" s="2381" t="s">
        <v>2402</v>
      </c>
      <c r="P71" s="2387" t="s">
        <v>2403</v>
      </c>
      <c r="Q71" s="2380" t="e">
        <f ca="1">C13</f>
        <v>#N/A</v>
      </c>
      <c r="R71" s="2379" t="s">
        <v>2381</v>
      </c>
    </row>
    <row r="72" spans="1:18" ht="15.75" thickBot="1">
      <c r="O72" s="2381" t="s">
        <v>2404</v>
      </c>
      <c r="P72" s="2387" t="s">
        <v>2405</v>
      </c>
      <c r="Q72" s="2382" t="e">
        <f ca="1">J36</f>
        <v>#N/A</v>
      </c>
      <c r="R72" s="2383"/>
    </row>
    <row r="73" spans="1:18" ht="15.75" thickBot="1">
      <c r="O73" s="2381" t="s">
        <v>2387</v>
      </c>
      <c r="P73" s="2379" t="s">
        <v>2394</v>
      </c>
      <c r="Q73" s="2382">
        <f>L52</f>
        <v>0</v>
      </c>
      <c r="R73" s="2383"/>
    </row>
    <row r="74" spans="1:18" ht="20.25" thickBot="1">
      <c r="O74" s="2381" t="s">
        <v>2389</v>
      </c>
      <c r="P74" s="2379" t="s">
        <v>2395</v>
      </c>
      <c r="Q74" s="2380" t="e">
        <f ca="1">L58</f>
        <v>#N/A</v>
      </c>
      <c r="R74" s="2383" t="s">
        <v>2396</v>
      </c>
    </row>
    <row r="75" spans="1:18" ht="15.75" thickBot="1">
      <c r="O75" s="2381" t="s">
        <v>2418</v>
      </c>
      <c r="P75" s="2379" t="str">
        <f>K59</f>
        <v>建设期及建筑物耐用年限下的土地年期修正系数Kn</v>
      </c>
      <c r="Q75" s="2380" t="e">
        <f ca="1">L59</f>
        <v>#N/A</v>
      </c>
      <c r="R75" s="2383" t="s">
        <v>2398</v>
      </c>
    </row>
    <row r="76" spans="1:18" ht="15.75" thickBot="1">
      <c r="O76" s="2378" t="s">
        <v>2392</v>
      </c>
      <c r="P76" s="2379" t="s">
        <v>2409</v>
      </c>
      <c r="Q76" s="2380" t="e">
        <f ca="1">Q66+Q67</f>
        <v>#N/A</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493" t="s">
        <v>2471</v>
      </c>
      <c r="B1" s="3494"/>
      <c r="C1" s="3495"/>
      <c r="D1" s="3496">
        <f>SUM(I10,I15,I20,I21,I23)</f>
        <v>0</v>
      </c>
      <c r="E1" s="3496"/>
      <c r="F1" s="3496"/>
      <c r="G1" s="3496"/>
      <c r="H1" s="3496"/>
      <c r="I1" s="3497"/>
    </row>
    <row r="2" spans="1:9">
      <c r="A2" s="3483" t="s">
        <v>2472</v>
      </c>
      <c r="B2" s="3484" t="s">
        <v>2473</v>
      </c>
      <c r="C2" s="3484"/>
      <c r="D2" s="2487" t="s">
        <v>2474</v>
      </c>
      <c r="E2" s="2487" t="s">
        <v>2475</v>
      </c>
      <c r="F2" s="2487" t="s">
        <v>2476</v>
      </c>
      <c r="G2" s="2487" t="s">
        <v>2477</v>
      </c>
      <c r="H2" s="2487" t="s">
        <v>2478</v>
      </c>
      <c r="I2" s="2488" t="s">
        <v>2479</v>
      </c>
    </row>
    <row r="3" spans="1:9">
      <c r="A3" s="3483"/>
      <c r="B3" s="3484" t="s">
        <v>2480</v>
      </c>
      <c r="C3" s="3484"/>
      <c r="D3" s="2489"/>
      <c r="E3" s="2487"/>
      <c r="F3" s="2490"/>
      <c r="G3" s="2490"/>
      <c r="H3" s="2491"/>
      <c r="I3" s="2492">
        <f>ROUND(D3*E3*F3*G3*H3/10000,0)</f>
        <v>0</v>
      </c>
    </row>
    <row r="4" spans="1:9">
      <c r="A4" s="3483"/>
      <c r="B4" s="3484" t="s">
        <v>2481</v>
      </c>
      <c r="C4" s="3484"/>
      <c r="D4" s="2489"/>
      <c r="E4" s="2487"/>
      <c r="F4" s="2490"/>
      <c r="G4" s="2490"/>
      <c r="H4" s="2491"/>
      <c r="I4" s="2492">
        <f t="shared" ref="I4:I9" si="0">ROUND(D4*E4*F4*G4*H4/10000,0)</f>
        <v>0</v>
      </c>
    </row>
    <row r="5" spans="1:9">
      <c r="A5" s="3483"/>
      <c r="B5" s="3484" t="s">
        <v>2482</v>
      </c>
      <c r="C5" s="3484"/>
      <c r="D5" s="2489"/>
      <c r="E5" s="2487"/>
      <c r="F5" s="2490"/>
      <c r="G5" s="2490"/>
      <c r="H5" s="2491"/>
      <c r="I5" s="2492">
        <f t="shared" si="0"/>
        <v>0</v>
      </c>
    </row>
    <row r="6" spans="1:9">
      <c r="A6" s="3483"/>
      <c r="B6" s="3484" t="s">
        <v>2483</v>
      </c>
      <c r="C6" s="3484"/>
      <c r="D6" s="2489"/>
      <c r="E6" s="2487"/>
      <c r="F6" s="2490"/>
      <c r="G6" s="2490"/>
      <c r="H6" s="2491"/>
      <c r="I6" s="2492">
        <f t="shared" si="0"/>
        <v>0</v>
      </c>
    </row>
    <row r="7" spans="1:9">
      <c r="A7" s="3483"/>
      <c r="B7" s="3484" t="s">
        <v>2484</v>
      </c>
      <c r="C7" s="3484"/>
      <c r="D7" s="2489"/>
      <c r="E7" s="2487"/>
      <c r="F7" s="2490"/>
      <c r="G7" s="2490"/>
      <c r="H7" s="2491"/>
      <c r="I7" s="2492">
        <f t="shared" si="0"/>
        <v>0</v>
      </c>
    </row>
    <row r="8" spans="1:9">
      <c r="A8" s="3483"/>
      <c r="B8" s="3484" t="s">
        <v>2485</v>
      </c>
      <c r="C8" s="3484"/>
      <c r="D8" s="2489"/>
      <c r="E8" s="2487"/>
      <c r="F8" s="2490"/>
      <c r="G8" s="2490"/>
      <c r="H8" s="2491"/>
      <c r="I8" s="2492">
        <f t="shared" si="0"/>
        <v>0</v>
      </c>
    </row>
    <row r="9" spans="1:9">
      <c r="A9" s="3483"/>
      <c r="B9" s="3484" t="s">
        <v>2486</v>
      </c>
      <c r="C9" s="3484"/>
      <c r="D9" s="2489"/>
      <c r="E9" s="2487"/>
      <c r="F9" s="2490"/>
      <c r="G9" s="2490"/>
      <c r="H9" s="2491"/>
      <c r="I9" s="2492">
        <f t="shared" si="0"/>
        <v>0</v>
      </c>
    </row>
    <row r="10" spans="1:9">
      <c r="A10" s="3483"/>
      <c r="B10" s="3485" t="s">
        <v>2487</v>
      </c>
      <c r="C10" s="3485"/>
      <c r="D10" s="2493">
        <v>527</v>
      </c>
      <c r="E10" s="2493" t="e">
        <f>ROUND(D1*10000/D10/H9,0)</f>
        <v>#DIV/0!</v>
      </c>
      <c r="F10" s="2494"/>
      <c r="G10" s="2494"/>
      <c r="H10" s="2495"/>
      <c r="I10" s="2496">
        <f>SUM(I3:I9)</f>
        <v>0</v>
      </c>
    </row>
    <row r="11" spans="1:9" ht="14.25">
      <c r="A11" s="3483" t="s">
        <v>2488</v>
      </c>
      <c r="B11" s="3484" t="s">
        <v>2489</v>
      </c>
      <c r="C11" s="3484"/>
      <c r="D11" s="2489" t="s">
        <v>2490</v>
      </c>
      <c r="E11" s="2489" t="s">
        <v>2491</v>
      </c>
      <c r="F11" s="2490" t="s">
        <v>2492</v>
      </c>
      <c r="G11" s="2490" t="s">
        <v>2493</v>
      </c>
      <c r="H11" s="2497" t="s">
        <v>2494</v>
      </c>
      <c r="I11" s="2488" t="s">
        <v>2495</v>
      </c>
    </row>
    <row r="12" spans="1:9">
      <c r="A12" s="3483"/>
      <c r="B12" s="3484" t="s">
        <v>2496</v>
      </c>
      <c r="C12" s="3484"/>
      <c r="D12" s="2489"/>
      <c r="E12" s="2489"/>
      <c r="F12" s="2490"/>
      <c r="G12" s="2491"/>
      <c r="H12" s="2498"/>
      <c r="I12" s="2488">
        <f>ROUND(D12*E12*F12*G12/10000,0)</f>
        <v>0</v>
      </c>
    </row>
    <row r="13" spans="1:9">
      <c r="A13" s="3483"/>
      <c r="B13" s="3484" t="s">
        <v>2497</v>
      </c>
      <c r="C13" s="3484"/>
      <c r="D13" s="2489"/>
      <c r="E13" s="2489"/>
      <c r="F13" s="2490"/>
      <c r="G13" s="2491"/>
      <c r="H13" s="2498"/>
      <c r="I13" s="2488">
        <f>ROUND(D13*E13*F13*G13/10000,0)</f>
        <v>0</v>
      </c>
    </row>
    <row r="14" spans="1:9">
      <c r="A14" s="3483"/>
      <c r="B14" s="3484" t="s">
        <v>2498</v>
      </c>
      <c r="C14" s="3484"/>
      <c r="D14" s="2489"/>
      <c r="E14" s="2489"/>
      <c r="F14" s="2490"/>
      <c r="G14" s="2491"/>
      <c r="H14" s="2498"/>
      <c r="I14" s="2488">
        <f>ROUND(D14*E14*F14*G14/10000,0)</f>
        <v>0</v>
      </c>
    </row>
    <row r="15" spans="1:9">
      <c r="A15" s="3483"/>
      <c r="B15" s="3485" t="s">
        <v>2487</v>
      </c>
      <c r="C15" s="3485"/>
      <c r="D15" s="2493"/>
      <c r="E15" s="2493">
        <f>SUM(E12:E14)</f>
        <v>0</v>
      </c>
      <c r="F15" s="2494"/>
      <c r="G15" s="2491"/>
      <c r="H15" s="2498"/>
      <c r="I15" s="2499">
        <f>SUM(I12:I14)</f>
        <v>0</v>
      </c>
    </row>
    <row r="16" spans="1:9" ht="24">
      <c r="A16" s="3483" t="s">
        <v>2499</v>
      </c>
      <c r="B16" s="3484" t="s">
        <v>2500</v>
      </c>
      <c r="C16" s="3484"/>
      <c r="D16" s="2489" t="s">
        <v>2501</v>
      </c>
      <c r="E16" s="2500" t="s">
        <v>2502</v>
      </c>
      <c r="F16" s="2490" t="s">
        <v>2503</v>
      </c>
      <c r="G16" s="2491" t="s">
        <v>2493</v>
      </c>
      <c r="H16" s="2497" t="s">
        <v>2494</v>
      </c>
      <c r="I16" s="2488" t="s">
        <v>2495</v>
      </c>
    </row>
    <row r="17" spans="1:9" ht="14.25">
      <c r="A17" s="3483"/>
      <c r="B17" s="3484" t="s">
        <v>2504</v>
      </c>
      <c r="C17" s="3484"/>
      <c r="D17" s="2489"/>
      <c r="E17" s="2489"/>
      <c r="F17" s="2490"/>
      <c r="G17" s="2491"/>
      <c r="H17" s="2501"/>
      <c r="I17" s="2502">
        <f>ROUND(D17*E17*F17*G17/10000,0)</f>
        <v>0</v>
      </c>
    </row>
    <row r="18" spans="1:9" ht="14.25">
      <c r="A18" s="3483"/>
      <c r="B18" s="3484" t="s">
        <v>2505</v>
      </c>
      <c r="C18" s="3484"/>
      <c r="D18" s="2489"/>
      <c r="E18" s="2489"/>
      <c r="F18" s="2490"/>
      <c r="G18" s="2491"/>
      <c r="H18" s="2501"/>
      <c r="I18" s="2502">
        <f>ROUND(D18*E18*F18*G18/10000,0)</f>
        <v>0</v>
      </c>
    </row>
    <row r="19" spans="1:9" ht="14.25">
      <c r="A19" s="3483"/>
      <c r="B19" s="3484" t="s">
        <v>2506</v>
      </c>
      <c r="C19" s="3484"/>
      <c r="D19" s="2489"/>
      <c r="E19" s="2489"/>
      <c r="F19" s="2490"/>
      <c r="G19" s="2491"/>
      <c r="H19" s="2501"/>
      <c r="I19" s="2502">
        <f>ROUND(D19*E19*F19*G19/10000,0)</f>
        <v>0</v>
      </c>
    </row>
    <row r="20" spans="1:9">
      <c r="A20" s="3483"/>
      <c r="B20" s="3485" t="s">
        <v>2487</v>
      </c>
      <c r="C20" s="3485"/>
      <c r="D20" s="2493">
        <f>SUM(D17:D19)</f>
        <v>0</v>
      </c>
      <c r="E20" s="2493"/>
      <c r="F20" s="2494"/>
      <c r="G20" s="2491"/>
      <c r="H20" s="2498"/>
      <c r="I20" s="2499">
        <f>SUM(I17:I19)</f>
        <v>0</v>
      </c>
    </row>
    <row r="21" spans="1:9">
      <c r="A21" s="3483" t="s">
        <v>2507</v>
      </c>
      <c r="B21" s="3486"/>
      <c r="C21" s="3486"/>
      <c r="D21" s="3486"/>
      <c r="E21" s="3486"/>
      <c r="F21" s="3486"/>
      <c r="G21" s="3486"/>
      <c r="H21" s="2503">
        <v>0.1</v>
      </c>
      <c r="I21" s="2496">
        <f>ROUND(I10*H21,0)</f>
        <v>0</v>
      </c>
    </row>
    <row r="22" spans="1:9" ht="14.25">
      <c r="A22" s="3487" t="s">
        <v>2508</v>
      </c>
      <c r="B22" s="3488"/>
      <c r="C22" s="3489"/>
      <c r="D22" s="2504" t="s">
        <v>2509</v>
      </c>
      <c r="E22" s="2504" t="s">
        <v>2510</v>
      </c>
      <c r="F22" s="2505" t="s">
        <v>2511</v>
      </c>
      <c r="G22" s="2505" t="s">
        <v>2512</v>
      </c>
      <c r="H22" s="2497" t="s">
        <v>2513</v>
      </c>
      <c r="I22" s="2488" t="s">
        <v>2514</v>
      </c>
    </row>
    <row r="23" spans="1:9" ht="14.25" thickBot="1">
      <c r="A23" s="3490"/>
      <c r="B23" s="3491"/>
      <c r="C23" s="3492"/>
      <c r="D23" s="2506"/>
      <c r="E23" s="2506"/>
      <c r="F23" s="2506"/>
      <c r="G23" s="2507"/>
      <c r="H23" s="2508"/>
      <c r="I23" s="2509">
        <f>ROUND(E23*D23*F23*(1-G23)/10000,0)</f>
        <v>0</v>
      </c>
    </row>
    <row r="26" spans="1:9">
      <c r="A26" s="2510" t="s">
        <v>2515</v>
      </c>
      <c r="B26" s="2510"/>
      <c r="C26" s="2510"/>
      <c r="D26" s="2510"/>
      <c r="E26" s="3480">
        <f>C27-C30-C31-C32</f>
        <v>0</v>
      </c>
      <c r="F26" s="3480"/>
      <c r="G26" s="3480"/>
      <c r="H26" s="3017" t="s">
        <v>2843</v>
      </c>
    </row>
    <row r="27" spans="1:9">
      <c r="A27" s="2511">
        <v>1</v>
      </c>
      <c r="B27" s="2512" t="s">
        <v>2516</v>
      </c>
      <c r="C27" s="2512"/>
      <c r="D27" s="2512"/>
      <c r="E27" s="3481"/>
      <c r="F27" s="3481"/>
      <c r="G27" s="3481"/>
    </row>
    <row r="28" spans="1:9">
      <c r="A28" s="2513" t="s">
        <v>2517</v>
      </c>
      <c r="B28" s="2512" t="s">
        <v>2518</v>
      </c>
      <c r="C28" s="2512"/>
      <c r="D28" s="2512"/>
      <c r="E28" s="3481"/>
      <c r="F28" s="3481"/>
      <c r="G28" s="3481"/>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82"/>
      <c r="F32" s="3482"/>
      <c r="G32" s="3482"/>
    </row>
    <row r="33" spans="1:7" hidden="1">
      <c r="A33" s="3477" t="s">
        <v>2526</v>
      </c>
      <c r="B33" s="3478"/>
      <c r="C33" s="3478"/>
      <c r="D33" s="3479"/>
      <c r="E33" s="3480"/>
      <c r="F33" s="3480"/>
      <c r="G33" s="3480"/>
    </row>
    <row r="34" spans="1:7" hidden="1">
      <c r="A34" s="2515">
        <v>1</v>
      </c>
      <c r="B34" s="2512" t="s">
        <v>2527</v>
      </c>
      <c r="C34" s="2512"/>
      <c r="D34" s="2512"/>
      <c r="E34" s="3481"/>
      <c r="F34" s="3481"/>
      <c r="G34" s="3481"/>
    </row>
    <row r="35" spans="1:7" hidden="1">
      <c r="A35" s="2515">
        <v>2</v>
      </c>
      <c r="B35" s="2512" t="s">
        <v>2528</v>
      </c>
      <c r="C35" s="2512"/>
      <c r="D35" s="2512"/>
      <c r="E35" s="3481"/>
      <c r="F35" s="3481"/>
      <c r="G35" s="3481"/>
    </row>
    <row r="36" spans="1:7" hidden="1">
      <c r="A36" s="2515">
        <v>3</v>
      </c>
      <c r="B36" s="2512" t="s">
        <v>2529</v>
      </c>
      <c r="C36" s="2512"/>
      <c r="D36" s="2512"/>
      <c r="E36" s="3481"/>
      <c r="F36" s="3481"/>
      <c r="G36" s="3481"/>
    </row>
    <row r="37" spans="1:7" hidden="1">
      <c r="A37" s="2515">
        <v>4</v>
      </c>
      <c r="B37" s="2512" t="s">
        <v>2530</v>
      </c>
      <c r="C37" s="2512"/>
      <c r="D37" s="2512"/>
      <c r="E37" s="3481"/>
      <c r="F37" s="3481"/>
      <c r="G37" s="3481"/>
    </row>
    <row r="38" spans="1:7" hidden="1">
      <c r="A38" s="3477" t="s">
        <v>2531</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183164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170</v>
      </c>
      <c r="F12" s="755"/>
      <c r="G12" s="759"/>
    </row>
    <row r="13" spans="1:25" s="2184" customFormat="1" ht="13.5" customHeight="1">
      <c r="A13" s="2456" t="s">
        <v>2448</v>
      </c>
      <c r="B13" s="756" t="s">
        <v>612</v>
      </c>
      <c r="C13" s="757">
        <f>ROUND(D13*E13/10000,0)</f>
        <v>3114</v>
      </c>
      <c r="D13" s="758">
        <f>'数据-汇总表'!E6</f>
        <v>183164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0.76500000000000001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9" t="s">
        <v>522</v>
      </c>
      <c r="D4" s="3400"/>
      <c r="E4" s="3418" t="s">
        <v>523</v>
      </c>
      <c r="F4" s="3419"/>
      <c r="G4" s="3399" t="s">
        <v>524</v>
      </c>
      <c r="H4" s="3400"/>
      <c r="I4" s="3399" t="s">
        <v>525</v>
      </c>
      <c r="J4" s="3400"/>
      <c r="K4" s="514" t="s">
        <v>526</v>
      </c>
      <c r="L4" s="2134"/>
      <c r="M4" s="2135"/>
      <c r="N4" s="2135"/>
      <c r="O4" s="2135"/>
      <c r="P4" s="3401" t="s">
        <v>527</v>
      </c>
      <c r="Q4" s="3402"/>
      <c r="R4" s="3387" t="s">
        <v>523</v>
      </c>
      <c r="S4" s="3388"/>
      <c r="T4" s="3387" t="s">
        <v>524</v>
      </c>
      <c r="U4" s="3388"/>
      <c r="V4" s="3407" t="s">
        <v>525</v>
      </c>
      <c r="W4" s="3407"/>
      <c r="X4" s="1568"/>
      <c r="Y4" s="3387" t="s">
        <v>527</v>
      </c>
      <c r="Z4" s="3388"/>
      <c r="AA4" s="3382" t="s">
        <v>523</v>
      </c>
      <c r="AB4" s="3407" t="s">
        <v>524</v>
      </c>
      <c r="AC4" s="3382" t="s">
        <v>525</v>
      </c>
    </row>
    <row r="5" spans="1:29" ht="15">
      <c r="A5" s="515"/>
      <c r="B5" s="516"/>
      <c r="C5" s="3410" t="s">
        <v>2929</v>
      </c>
      <c r="D5" s="3411"/>
      <c r="E5" s="3433" t="s">
        <v>2930</v>
      </c>
      <c r="F5" s="3421"/>
      <c r="G5" s="3410" t="s">
        <v>2931</v>
      </c>
      <c r="H5" s="3411"/>
      <c r="I5" s="3410" t="s">
        <v>2932</v>
      </c>
      <c r="J5" s="3411"/>
      <c r="K5" s="514"/>
      <c r="L5" s="2134"/>
      <c r="M5" s="2135"/>
      <c r="N5" s="2135"/>
      <c r="O5" s="2135"/>
      <c r="P5" s="3403"/>
      <c r="Q5" s="3404"/>
      <c r="R5" s="3389"/>
      <c r="S5" s="3390"/>
      <c r="T5" s="3389"/>
      <c r="U5" s="3390"/>
      <c r="V5" s="3407"/>
      <c r="W5" s="3407"/>
      <c r="X5" s="1568"/>
      <c r="Y5" s="3389"/>
      <c r="Z5" s="3390"/>
      <c r="AA5" s="3383"/>
      <c r="AB5" s="3407"/>
      <c r="AC5" s="3383"/>
    </row>
    <row r="6" spans="1:29" ht="15.75" thickBot="1">
      <c r="A6" s="517"/>
      <c r="B6" s="518"/>
      <c r="C6" s="3408" t="s">
        <v>2933</v>
      </c>
      <c r="D6" s="3409"/>
      <c r="E6" s="3423" t="s">
        <v>2933</v>
      </c>
      <c r="F6" s="3424"/>
      <c r="G6" s="3408" t="s">
        <v>2933</v>
      </c>
      <c r="H6" s="3409"/>
      <c r="I6" s="3408" t="s">
        <v>2933</v>
      </c>
      <c r="J6" s="3409"/>
      <c r="K6" s="514" t="s">
        <v>528</v>
      </c>
      <c r="L6" s="2134"/>
      <c r="M6" s="2135"/>
      <c r="N6" s="2135"/>
      <c r="O6" s="2135"/>
      <c r="P6" s="3405"/>
      <c r="Q6" s="3406"/>
      <c r="R6" s="3389"/>
      <c r="S6" s="3390"/>
      <c r="T6" s="3391"/>
      <c r="U6" s="3392"/>
      <c r="V6" s="3407"/>
      <c r="W6" s="3407"/>
      <c r="X6" s="1568"/>
      <c r="Y6" s="3391"/>
      <c r="Z6" s="3392"/>
      <c r="AA6" s="3384"/>
      <c r="AB6" s="3407"/>
      <c r="AC6" s="3384"/>
    </row>
    <row r="7" spans="1:29" s="1220" customFormat="1" ht="15.75" thickBot="1">
      <c r="A7" s="2891"/>
      <c r="B7" s="2898" t="s">
        <v>529</v>
      </c>
      <c r="C7" s="519">
        <f>'数据-取费表'!B2</f>
        <v>43564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5" t="s">
        <v>530</v>
      </c>
      <c r="Q7" s="3394"/>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46" si="3">D8/F8</f>
        <v>#DIV/0!</v>
      </c>
      <c r="AB8" s="1572" t="e">
        <f t="shared" ref="AB8:AB46" si="4">D8/H8</f>
        <v>#DIV/0!</v>
      </c>
      <c r="AC8" s="1572" t="e">
        <f t="shared" ref="AC8:AC46" si="5">D8/J8</f>
        <v>#DIV/0!</v>
      </c>
    </row>
    <row r="9" spans="1:29" s="1220" customFormat="1" ht="15">
      <c r="A9" s="2893"/>
      <c r="B9" s="2900"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3" t="s">
        <v>535</v>
      </c>
      <c r="Q9" s="1151" t="str">
        <f t="shared" ref="Q9:Q15" si="6">B9</f>
        <v>用途</v>
      </c>
      <c r="R9" s="1569" t="s">
        <v>8</v>
      </c>
      <c r="S9" s="1570">
        <f t="shared" si="0"/>
        <v>100</v>
      </c>
      <c r="T9" s="1569" t="s">
        <v>8</v>
      </c>
      <c r="U9" s="1570">
        <f t="shared" si="1"/>
        <v>100</v>
      </c>
      <c r="V9" s="1569" t="s">
        <v>8</v>
      </c>
      <c r="W9" s="1570">
        <f t="shared" si="2"/>
        <v>100</v>
      </c>
      <c r="X9" s="1571"/>
      <c r="Y9" s="335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71.25">
      <c r="A15" s="2889"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5" t="s">
        <v>540</v>
      </c>
      <c r="Q15" s="1573" t="str">
        <f t="shared" si="6"/>
        <v>商业繁华度</v>
      </c>
      <c r="R15" s="1574" t="s">
        <v>8</v>
      </c>
      <c r="S15" s="1575">
        <f t="shared" si="0"/>
        <v>100</v>
      </c>
      <c r="T15" s="1574" t="s">
        <v>8</v>
      </c>
      <c r="U15" s="1575">
        <f t="shared" si="1"/>
        <v>100</v>
      </c>
      <c r="V15" s="1574" t="s">
        <v>8</v>
      </c>
      <c r="W15" s="1575">
        <f t="shared" si="2"/>
        <v>100</v>
      </c>
      <c r="X15" s="1568"/>
      <c r="Y15" s="339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6"/>
      <c r="Q18" s="1573"/>
      <c r="R18" s="1574"/>
      <c r="S18" s="1575"/>
      <c r="T18" s="1574"/>
      <c r="U18" s="1575"/>
      <c r="V18" s="1574"/>
      <c r="W18" s="1575"/>
      <c r="X18" s="1568"/>
      <c r="Y18" s="3396"/>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96"/>
      <c r="Q22" s="2559"/>
      <c r="R22" s="1574"/>
      <c r="S22" s="1575"/>
      <c r="T22" s="1574"/>
      <c r="U22" s="1575"/>
      <c r="V22" s="1574"/>
      <c r="W22" s="1575"/>
      <c r="X22" s="2561"/>
      <c r="Y22" s="339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7" t="s">
        <v>550</v>
      </c>
      <c r="Q32" s="1573" t="str">
        <f t="shared" si="11"/>
        <v>商业类型</v>
      </c>
      <c r="R32" s="1574" t="s">
        <v>8</v>
      </c>
      <c r="S32" s="1575">
        <f t="shared" si="12"/>
        <v>100</v>
      </c>
      <c r="T32" s="1574" t="s">
        <v>8</v>
      </c>
      <c r="U32" s="1575">
        <f t="shared" si="13"/>
        <v>100</v>
      </c>
      <c r="V32" s="1574" t="s">
        <v>8</v>
      </c>
      <c r="W32" s="1575">
        <f t="shared" si="14"/>
        <v>100</v>
      </c>
      <c r="X32" s="1568"/>
      <c r="Y32" s="339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8" t="s">
        <v>766</v>
      </c>
      <c r="Q38" s="1573" t="str">
        <f t="shared" si="11"/>
        <v>业态</v>
      </c>
      <c r="R38" s="1574" t="s">
        <v>8</v>
      </c>
      <c r="S38" s="1575">
        <f t="shared" si="12"/>
        <v>100</v>
      </c>
      <c r="T38" s="1574" t="s">
        <v>8</v>
      </c>
      <c r="U38" s="1575">
        <f t="shared" si="13"/>
        <v>100</v>
      </c>
      <c r="V38" s="1574" t="s">
        <v>8</v>
      </c>
      <c r="W38" s="1575">
        <f t="shared" si="14"/>
        <v>100</v>
      </c>
      <c r="X38" s="1568"/>
      <c r="Y38" s="339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25"/>
      <c r="Q46" s="1573">
        <f t="shared" si="11"/>
        <v>111</v>
      </c>
      <c r="R46" s="1574" t="s">
        <v>8</v>
      </c>
      <c r="S46" s="1575">
        <f t="shared" si="12"/>
        <v>100</v>
      </c>
      <c r="T46" s="1574" t="s">
        <v>8</v>
      </c>
      <c r="U46" s="1575">
        <f t="shared" si="13"/>
        <v>100</v>
      </c>
      <c r="V46" s="1574" t="s">
        <v>8</v>
      </c>
      <c r="W46" s="1575">
        <f t="shared" si="14"/>
        <v>100</v>
      </c>
      <c r="X46" s="1568"/>
      <c r="Y46" s="3425"/>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93" t="str">
        <f>A47</f>
        <v>成交单价（元/平方米）</v>
      </c>
      <c r="Q47" s="3393"/>
      <c r="R47" s="3426">
        <f>E47</f>
        <v>0</v>
      </c>
      <c r="S47" s="3426"/>
      <c r="T47" s="3426">
        <f>G47</f>
        <v>0</v>
      </c>
      <c r="U47" s="3426"/>
      <c r="V47" s="3426">
        <f>I47</f>
        <v>0</v>
      </c>
      <c r="W47" s="3426"/>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93" t="str">
        <f>A48</f>
        <v>比较价格（元/平方米）</v>
      </c>
      <c r="Q48" s="3393"/>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14"/>
      <c r="L49" s="2145"/>
      <c r="M49" s="2146"/>
      <c r="N49" s="2135"/>
      <c r="O49" s="2146"/>
      <c r="P49" s="3414" t="str">
        <f>A49</f>
        <v>估价对象XX用房的比较价格（楼面单价，元/平方米）</v>
      </c>
      <c r="Q49" s="3415"/>
      <c r="R49" s="3427" t="e">
        <f>IF(F1="售价",ROUND(AVERAGE(R48:V48),0),ROUND(AVERAGE(R48:V48),1))</f>
        <v>#DIV/0!</v>
      </c>
      <c r="S49" s="3427"/>
      <c r="T49" s="3427"/>
      <c r="U49" s="3427"/>
      <c r="V49" s="3427"/>
      <c r="W49" s="342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9" t="s">
        <v>522</v>
      </c>
      <c r="D4" s="3400"/>
      <c r="E4" s="3418" t="s">
        <v>523</v>
      </c>
      <c r="F4" s="3419"/>
      <c r="G4" s="3399" t="s">
        <v>524</v>
      </c>
      <c r="H4" s="3400"/>
      <c r="I4" s="3399" t="s">
        <v>525</v>
      </c>
      <c r="J4" s="3400"/>
      <c r="K4" s="514" t="s">
        <v>526</v>
      </c>
      <c r="L4" s="2134"/>
      <c r="M4" s="2135"/>
      <c r="N4" s="2135"/>
      <c r="O4" s="2135"/>
      <c r="P4" s="3498" t="s">
        <v>527</v>
      </c>
      <c r="Q4" s="3402"/>
      <c r="R4" s="3387" t="s">
        <v>523</v>
      </c>
      <c r="S4" s="3388"/>
      <c r="T4" s="3387" t="s">
        <v>524</v>
      </c>
      <c r="U4" s="3388"/>
      <c r="V4" s="3407" t="s">
        <v>525</v>
      </c>
      <c r="W4" s="3407"/>
      <c r="X4" s="1568"/>
      <c r="Y4" s="3387" t="s">
        <v>527</v>
      </c>
      <c r="Z4" s="3388"/>
      <c r="AA4" s="3382" t="s">
        <v>523</v>
      </c>
      <c r="AB4" s="3382" t="s">
        <v>524</v>
      </c>
      <c r="AC4" s="3382" t="s">
        <v>525</v>
      </c>
    </row>
    <row r="5" spans="1:29" ht="15">
      <c r="A5" s="515"/>
      <c r="B5" s="516"/>
      <c r="C5" s="3410" t="s">
        <v>2929</v>
      </c>
      <c r="D5" s="3411"/>
      <c r="E5" s="3433" t="s">
        <v>2930</v>
      </c>
      <c r="F5" s="3421"/>
      <c r="G5" s="3410" t="s">
        <v>2931</v>
      </c>
      <c r="H5" s="3411"/>
      <c r="I5" s="3410" t="s">
        <v>2932</v>
      </c>
      <c r="J5" s="3411"/>
      <c r="K5" s="514"/>
      <c r="L5" s="2134"/>
      <c r="M5" s="2135"/>
      <c r="N5" s="2135"/>
      <c r="O5" s="2135"/>
      <c r="P5" s="3499"/>
      <c r="Q5" s="3404"/>
      <c r="R5" s="3389"/>
      <c r="S5" s="3390"/>
      <c r="T5" s="3389"/>
      <c r="U5" s="3390"/>
      <c r="V5" s="3407"/>
      <c r="W5" s="3407"/>
      <c r="X5" s="1568"/>
      <c r="Y5" s="3389"/>
      <c r="Z5" s="3390"/>
      <c r="AA5" s="3383"/>
      <c r="AB5" s="3383"/>
      <c r="AC5" s="3383"/>
    </row>
    <row r="6" spans="1:29" ht="15.75" thickBot="1">
      <c r="A6" s="517"/>
      <c r="B6" s="518"/>
      <c r="C6" s="3408" t="s">
        <v>2933</v>
      </c>
      <c r="D6" s="3409"/>
      <c r="E6" s="3423" t="s">
        <v>2933</v>
      </c>
      <c r="F6" s="3424"/>
      <c r="G6" s="3408" t="s">
        <v>2933</v>
      </c>
      <c r="H6" s="3409"/>
      <c r="I6" s="3408" t="s">
        <v>2933</v>
      </c>
      <c r="J6" s="3409"/>
      <c r="K6" s="514" t="s">
        <v>528</v>
      </c>
      <c r="L6" s="2134"/>
      <c r="M6" s="2135"/>
      <c r="N6" s="2135"/>
      <c r="O6" s="2135"/>
      <c r="P6" s="3500"/>
      <c r="Q6" s="3406"/>
      <c r="R6" s="3389"/>
      <c r="S6" s="3390"/>
      <c r="T6" s="3391"/>
      <c r="U6" s="3392"/>
      <c r="V6" s="3407"/>
      <c r="W6" s="3407"/>
      <c r="X6" s="1568"/>
      <c r="Y6" s="3391"/>
      <c r="Z6" s="3392"/>
      <c r="AA6" s="3384"/>
      <c r="AB6" s="3384"/>
      <c r="AC6" s="3384"/>
    </row>
    <row r="7" spans="1:29" s="1220" customFormat="1" ht="15.75" thickBot="1">
      <c r="A7" s="2891"/>
      <c r="B7" s="2898" t="s">
        <v>529</v>
      </c>
      <c r="C7" s="519">
        <f>'数据-取费表'!B2</f>
        <v>43564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4" t="s">
        <v>530</v>
      </c>
      <c r="Q7" s="3394"/>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4" t="s">
        <v>533</v>
      </c>
      <c r="Q8" s="3386"/>
      <c r="R8" s="1569" t="s">
        <v>8</v>
      </c>
      <c r="S8" s="1570">
        <f t="shared" si="0"/>
        <v>0</v>
      </c>
      <c r="T8" s="1569" t="s">
        <v>8</v>
      </c>
      <c r="U8" s="1570">
        <f t="shared" si="1"/>
        <v>0</v>
      </c>
      <c r="V8" s="1569" t="s">
        <v>8</v>
      </c>
      <c r="W8" s="1570">
        <f t="shared" si="2"/>
        <v>0</v>
      </c>
      <c r="X8" s="1571"/>
      <c r="Y8" s="3385" t="s">
        <v>533</v>
      </c>
      <c r="Z8" s="3386"/>
      <c r="AA8" s="1572" t="e">
        <f t="shared" ref="AA8:AA47" si="3">D8/F8</f>
        <v>#DIV/0!</v>
      </c>
      <c r="AB8" s="1572" t="e">
        <f t="shared" ref="AB8:AB47" si="4">D8/H8</f>
        <v>#DIV/0!</v>
      </c>
      <c r="AC8" s="1572" t="e">
        <f t="shared" ref="AC8:AC47" si="5">D8/J8</f>
        <v>#DIV/0!</v>
      </c>
    </row>
    <row r="9" spans="1:29" s="1220" customFormat="1" ht="15">
      <c r="A9" s="2893"/>
      <c r="B9" s="2900"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3" t="s">
        <v>535</v>
      </c>
      <c r="Q9" s="1151" t="str">
        <f t="shared" ref="Q9:Q15" si="6">B9</f>
        <v>用途</v>
      </c>
      <c r="R9" s="1569" t="s">
        <v>8</v>
      </c>
      <c r="S9" s="1570">
        <f t="shared" si="0"/>
        <v>100</v>
      </c>
      <c r="T9" s="1569" t="s">
        <v>8</v>
      </c>
      <c r="U9" s="1570">
        <f t="shared" si="1"/>
        <v>100</v>
      </c>
      <c r="V9" s="1569" t="s">
        <v>8</v>
      </c>
      <c r="W9" s="1570">
        <f t="shared" si="2"/>
        <v>100</v>
      </c>
      <c r="X9" s="1571"/>
      <c r="Y9" s="335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71.25">
      <c r="A15" s="2889"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5" t="s">
        <v>540</v>
      </c>
      <c r="Q15" s="1573" t="str">
        <f t="shared" si="6"/>
        <v>办公集聚程度</v>
      </c>
      <c r="R15" s="1574" t="s">
        <v>8</v>
      </c>
      <c r="S15" s="1575">
        <f t="shared" si="0"/>
        <v>100</v>
      </c>
      <c r="T15" s="1574" t="s">
        <v>8</v>
      </c>
      <c r="U15" s="1575">
        <f t="shared" si="1"/>
        <v>100</v>
      </c>
      <c r="V15" s="1574" t="s">
        <v>8</v>
      </c>
      <c r="W15" s="1575">
        <f t="shared" si="2"/>
        <v>100</v>
      </c>
      <c r="X15" s="1568"/>
      <c r="Y15" s="339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6"/>
      <c r="Q16" s="1573"/>
      <c r="R16" s="1574"/>
      <c r="S16" s="1575"/>
      <c r="T16" s="1574"/>
      <c r="U16" s="1575"/>
      <c r="V16" s="1574"/>
      <c r="W16" s="1575"/>
      <c r="X16" s="1568"/>
      <c r="Y16" s="339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6"/>
      <c r="Q18" s="1573"/>
      <c r="R18" s="1574"/>
      <c r="S18" s="1575"/>
      <c r="T18" s="1574"/>
      <c r="U18" s="1575"/>
      <c r="V18" s="1574"/>
      <c r="W18" s="1575"/>
      <c r="X18" s="1568"/>
      <c r="Y18" s="3396"/>
      <c r="Z18" s="1576"/>
      <c r="AA18" s="1577">
        <v>1</v>
      </c>
      <c r="AB18" s="1577">
        <v>1</v>
      </c>
      <c r="AC18" s="1577">
        <v>1</v>
      </c>
    </row>
    <row r="19" spans="1:29" ht="42.75">
      <c r="A19" s="532"/>
      <c r="B19" s="258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6"/>
      <c r="Q20" s="1573"/>
      <c r="R20" s="1574"/>
      <c r="S20" s="1575"/>
      <c r="T20" s="1574"/>
      <c r="U20" s="1575"/>
      <c r="V20" s="1574"/>
      <c r="W20" s="1575"/>
      <c r="X20" s="1568"/>
      <c r="Y20" s="3396"/>
      <c r="Z20" s="1576"/>
      <c r="AA20" s="1577">
        <v>1</v>
      </c>
      <c r="AB20" s="1577">
        <v>1</v>
      </c>
      <c r="AC20" s="1577">
        <v>1</v>
      </c>
    </row>
    <row r="21" spans="1:29" ht="28.5">
      <c r="A21" s="532"/>
      <c r="B21" s="257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96"/>
      <c r="Q22" s="2559"/>
      <c r="R22" s="1574"/>
      <c r="S22" s="1575"/>
      <c r="T22" s="1574"/>
      <c r="U22" s="1575"/>
      <c r="V22" s="1574"/>
      <c r="W22" s="1575"/>
      <c r="X22" s="2561"/>
      <c r="Y22" s="339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6"/>
      <c r="Q24" s="1573"/>
      <c r="R24" s="1574"/>
      <c r="S24" s="1575"/>
      <c r="T24" s="1574"/>
      <c r="U24" s="1575"/>
      <c r="V24" s="1574"/>
      <c r="W24" s="1575"/>
      <c r="X24" s="1568"/>
      <c r="Y24" s="339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6"/>
      <c r="Q26" s="1573"/>
      <c r="R26" s="1574"/>
      <c r="S26" s="1575"/>
      <c r="T26" s="1574"/>
      <c r="U26" s="1575"/>
      <c r="V26" s="1574"/>
      <c r="W26" s="1575"/>
      <c r="X26" s="1568"/>
      <c r="Y26" s="339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7" t="s">
        <v>550</v>
      </c>
      <c r="Q33" s="1573" t="str">
        <f t="shared" si="11"/>
        <v>建筑类型</v>
      </c>
      <c r="R33" s="1574" t="s">
        <v>8</v>
      </c>
      <c r="S33" s="1575">
        <f t="shared" si="12"/>
        <v>100</v>
      </c>
      <c r="T33" s="1574" t="s">
        <v>8</v>
      </c>
      <c r="U33" s="1575">
        <f t="shared" si="13"/>
        <v>100</v>
      </c>
      <c r="V33" s="1574" t="s">
        <v>8</v>
      </c>
      <c r="W33" s="1575">
        <f t="shared" si="14"/>
        <v>100</v>
      </c>
      <c r="X33" s="1568"/>
      <c r="Y33" s="339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8" t="s">
        <v>550</v>
      </c>
      <c r="Q39" s="1573" t="str">
        <f t="shared" si="11"/>
        <v>物业管理</v>
      </c>
      <c r="R39" s="1574" t="s">
        <v>8</v>
      </c>
      <c r="S39" s="1575">
        <f t="shared" si="12"/>
        <v>100</v>
      </c>
      <c r="T39" s="1574" t="s">
        <v>8</v>
      </c>
      <c r="U39" s="1575">
        <f t="shared" si="13"/>
        <v>100</v>
      </c>
      <c r="V39" s="1574" t="s">
        <v>8</v>
      </c>
      <c r="W39" s="1575">
        <f t="shared" si="14"/>
        <v>100</v>
      </c>
      <c r="X39" s="1568"/>
      <c r="Y39" s="3398"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25"/>
      <c r="Q47" s="1573">
        <f t="shared" si="11"/>
        <v>111</v>
      </c>
      <c r="R47" s="1574" t="s">
        <v>8</v>
      </c>
      <c r="S47" s="1575">
        <f t="shared" si="12"/>
        <v>100</v>
      </c>
      <c r="T47" s="1574" t="s">
        <v>8</v>
      </c>
      <c r="U47" s="1575">
        <f t="shared" si="13"/>
        <v>100</v>
      </c>
      <c r="V47" s="1574" t="s">
        <v>8</v>
      </c>
      <c r="W47" s="1575">
        <f t="shared" si="14"/>
        <v>100</v>
      </c>
      <c r="X47" s="1568"/>
      <c r="Y47" s="3425"/>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5" t="str">
        <f>A48</f>
        <v>成交单价（元/平方米）</v>
      </c>
      <c r="Q48" s="3393"/>
      <c r="R48" s="3426">
        <f>E48</f>
        <v>0</v>
      </c>
      <c r="S48" s="3426"/>
      <c r="T48" s="3426">
        <f>G48</f>
        <v>0</v>
      </c>
      <c r="U48" s="3426"/>
      <c r="V48" s="3426">
        <f>I48</f>
        <v>0</v>
      </c>
      <c r="W48" s="3426"/>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415" t="str">
        <f>A49</f>
        <v>比较价格（元/平方米）</v>
      </c>
      <c r="Q49" s="3393"/>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560"/>
      <c r="Y49" s="1560"/>
      <c r="Z49" s="1560"/>
      <c r="AA49" s="1560"/>
      <c r="AB49" s="1560"/>
      <c r="AC49" s="1560"/>
    </row>
    <row r="50" spans="1:29" ht="15.75" thickBot="1">
      <c r="A50" s="621" t="s">
        <v>2935</v>
      </c>
      <c r="B50" s="622"/>
      <c r="C50" s="2616" t="e">
        <f>R50</f>
        <v>#DIV/0!</v>
      </c>
      <c r="D50" s="2616"/>
      <c r="E50" s="2616"/>
      <c r="F50" s="2616"/>
      <c r="G50" s="2616"/>
      <c r="H50" s="2616"/>
      <c r="I50" s="2616"/>
      <c r="J50" s="2616"/>
      <c r="K50" s="1614"/>
      <c r="L50" s="2145"/>
      <c r="M50" s="2135"/>
      <c r="N50" s="2135"/>
      <c r="O50" s="2135"/>
      <c r="P50" s="3501" t="str">
        <f>A50</f>
        <v>估价对象XX用房的比较价格（楼面单价，元/平方米）</v>
      </c>
      <c r="Q50" s="3415"/>
      <c r="R50" s="3427" t="e">
        <f>IF(F1="售价",ROUND(AVERAGE(R49:V49),0),ROUND(AVERAGE(R49:V49),1))</f>
        <v>#DIV/0!</v>
      </c>
      <c r="S50" s="3427"/>
      <c r="T50" s="3427"/>
      <c r="U50" s="3427"/>
      <c r="V50" s="3427"/>
      <c r="W50" s="3427"/>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9" t="s">
        <v>522</v>
      </c>
      <c r="D4" s="3400"/>
      <c r="E4" s="3418" t="s">
        <v>523</v>
      </c>
      <c r="F4" s="3419"/>
      <c r="G4" s="3399" t="s">
        <v>524</v>
      </c>
      <c r="H4" s="3400"/>
      <c r="I4" s="3399" t="s">
        <v>525</v>
      </c>
      <c r="J4" s="3400"/>
      <c r="K4" s="514" t="s">
        <v>526</v>
      </c>
      <c r="L4" s="2134"/>
      <c r="M4" s="2135"/>
      <c r="N4" s="2135"/>
      <c r="O4" s="2135"/>
      <c r="P4" s="3401" t="s">
        <v>527</v>
      </c>
      <c r="Q4" s="3402"/>
      <c r="R4" s="3387" t="s">
        <v>523</v>
      </c>
      <c r="S4" s="3388"/>
      <c r="T4" s="3387" t="s">
        <v>524</v>
      </c>
      <c r="U4" s="3388"/>
      <c r="V4" s="3407" t="s">
        <v>525</v>
      </c>
      <c r="W4" s="3407"/>
      <c r="X4" s="1568"/>
      <c r="Y4" s="3387" t="s">
        <v>527</v>
      </c>
      <c r="Z4" s="3388"/>
      <c r="AA4" s="3382" t="s">
        <v>523</v>
      </c>
      <c r="AB4" s="3383" t="s">
        <v>524</v>
      </c>
      <c r="AC4" s="3382" t="s">
        <v>525</v>
      </c>
    </row>
    <row r="5" spans="1:29" ht="15">
      <c r="A5" s="515"/>
      <c r="B5" s="516"/>
      <c r="C5" s="3410" t="s">
        <v>2929</v>
      </c>
      <c r="D5" s="3411"/>
      <c r="E5" s="3433" t="s">
        <v>2930</v>
      </c>
      <c r="F5" s="3421"/>
      <c r="G5" s="3410" t="s">
        <v>2931</v>
      </c>
      <c r="H5" s="3411"/>
      <c r="I5" s="3410" t="s">
        <v>2932</v>
      </c>
      <c r="J5" s="3411"/>
      <c r="K5" s="514"/>
      <c r="L5" s="2134"/>
      <c r="M5" s="2135"/>
      <c r="N5" s="2135"/>
      <c r="O5" s="2135"/>
      <c r="P5" s="3403"/>
      <c r="Q5" s="3404"/>
      <c r="R5" s="3389"/>
      <c r="S5" s="3390"/>
      <c r="T5" s="3389"/>
      <c r="U5" s="3390"/>
      <c r="V5" s="3407"/>
      <c r="W5" s="3407"/>
      <c r="X5" s="1568"/>
      <c r="Y5" s="3389"/>
      <c r="Z5" s="3390"/>
      <c r="AA5" s="3383"/>
      <c r="AB5" s="3383"/>
      <c r="AC5" s="3383"/>
    </row>
    <row r="6" spans="1:29" ht="15.75" thickBot="1">
      <c r="A6" s="517"/>
      <c r="B6" s="518"/>
      <c r="C6" s="3408" t="s">
        <v>2933</v>
      </c>
      <c r="D6" s="3409"/>
      <c r="E6" s="3423" t="s">
        <v>2933</v>
      </c>
      <c r="F6" s="3424"/>
      <c r="G6" s="3408" t="s">
        <v>2933</v>
      </c>
      <c r="H6" s="3409"/>
      <c r="I6" s="3408" t="s">
        <v>2933</v>
      </c>
      <c r="J6" s="3409"/>
      <c r="K6" s="514" t="s">
        <v>528</v>
      </c>
      <c r="L6" s="2134"/>
      <c r="M6" s="2135"/>
      <c r="N6" s="2135"/>
      <c r="O6" s="2135"/>
      <c r="P6" s="3405"/>
      <c r="Q6" s="3406"/>
      <c r="R6" s="3389"/>
      <c r="S6" s="3390"/>
      <c r="T6" s="3391"/>
      <c r="U6" s="3392"/>
      <c r="V6" s="3407"/>
      <c r="W6" s="3407"/>
      <c r="X6" s="1568"/>
      <c r="Y6" s="3391"/>
      <c r="Z6" s="3392"/>
      <c r="AA6" s="3384"/>
      <c r="AB6" s="3384"/>
      <c r="AC6" s="3384"/>
    </row>
    <row r="7" spans="1:29" s="1220" customFormat="1" ht="15.75" thickBot="1">
      <c r="A7" s="2891"/>
      <c r="B7" s="2898" t="s">
        <v>529</v>
      </c>
      <c r="C7" s="519">
        <f>'数据-取费表'!B2</f>
        <v>43564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5" t="s">
        <v>530</v>
      </c>
      <c r="Q7" s="3394"/>
      <c r="R7" s="1569" t="s">
        <v>8</v>
      </c>
      <c r="S7" s="1570">
        <f t="shared" ref="S7:S15" si="0">F7</f>
        <v>0</v>
      </c>
      <c r="T7" s="1569" t="s">
        <v>8</v>
      </c>
      <c r="U7" s="1570">
        <f t="shared" ref="U7:U15" si="1">H7</f>
        <v>0</v>
      </c>
      <c r="V7" s="1569" t="s">
        <v>8</v>
      </c>
      <c r="W7" s="1570">
        <f t="shared" ref="W7:W15" si="2">J7</f>
        <v>0</v>
      </c>
      <c r="X7" s="1571"/>
      <c r="Y7" s="3385" t="s">
        <v>530</v>
      </c>
      <c r="Z7" s="3386"/>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40" si="3">D8/F8</f>
        <v>#DIV/0!</v>
      </c>
      <c r="AB8" s="1572" t="e">
        <f t="shared" ref="AB8:AB40" si="4">D8/H8</f>
        <v>#DIV/0!</v>
      </c>
      <c r="AC8" s="1572" t="e">
        <f t="shared" ref="AC8:AC40" si="5">D8/J8</f>
        <v>#DIV/0!</v>
      </c>
    </row>
    <row r="9" spans="1:29" s="1220" customFormat="1" ht="15">
      <c r="A9" s="2893"/>
      <c r="B9" s="2900"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3" t="s">
        <v>535</v>
      </c>
      <c r="Q9" s="1151" t="str">
        <f t="shared" ref="Q9:Q15" si="6">B9</f>
        <v>用途</v>
      </c>
      <c r="R9" s="1569" t="s">
        <v>8</v>
      </c>
      <c r="S9" s="1570">
        <f t="shared" si="0"/>
        <v>100</v>
      </c>
      <c r="T9" s="1569" t="s">
        <v>8</v>
      </c>
      <c r="U9" s="1570">
        <f t="shared" si="1"/>
        <v>100</v>
      </c>
      <c r="V9" s="1569" t="s">
        <v>8</v>
      </c>
      <c r="W9" s="1570">
        <f t="shared" si="2"/>
        <v>100</v>
      </c>
      <c r="X9" s="1571"/>
      <c r="Y9" s="3350"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57">
      <c r="A15" s="2889"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5" t="s">
        <v>540</v>
      </c>
      <c r="Q15" s="1573" t="str">
        <f t="shared" si="6"/>
        <v>产业集聚程度</v>
      </c>
      <c r="R15" s="1574" t="s">
        <v>8</v>
      </c>
      <c r="S15" s="1575">
        <f t="shared" si="0"/>
        <v>100</v>
      </c>
      <c r="T15" s="1574" t="s">
        <v>8</v>
      </c>
      <c r="U15" s="1575">
        <f t="shared" si="1"/>
        <v>100</v>
      </c>
      <c r="V15" s="1574" t="s">
        <v>8</v>
      </c>
      <c r="W15" s="1575">
        <f t="shared" si="2"/>
        <v>100</v>
      </c>
      <c r="X15" s="1568"/>
      <c r="Y15" s="339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6"/>
      <c r="Q18" s="1573"/>
      <c r="R18" s="1574"/>
      <c r="S18" s="1575"/>
      <c r="T18" s="1574"/>
      <c r="U18" s="1575"/>
      <c r="V18" s="1574"/>
      <c r="W18" s="1575"/>
      <c r="X18" s="1568"/>
      <c r="Y18" s="3396"/>
      <c r="Z18" s="1576"/>
      <c r="AA18" s="1577">
        <v>1</v>
      </c>
      <c r="AB18" s="1577">
        <v>1</v>
      </c>
      <c r="AC18" s="1577">
        <v>1</v>
      </c>
    </row>
    <row r="19" spans="1:29" ht="42.75">
      <c r="A19" s="532"/>
      <c r="B19" s="258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8.5">
      <c r="A21" s="532"/>
      <c r="B21" s="257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96"/>
      <c r="Q22" s="2559"/>
      <c r="R22" s="1574"/>
      <c r="S22" s="1575"/>
      <c r="T22" s="1574"/>
      <c r="U22" s="1575"/>
      <c r="V22" s="1574"/>
      <c r="W22" s="1575"/>
      <c r="X22" s="2561"/>
      <c r="Y22" s="339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7" t="s">
        <v>550</v>
      </c>
      <c r="Q29" s="1573" t="str">
        <f t="shared" si="11"/>
        <v>建筑类型</v>
      </c>
      <c r="R29" s="1574" t="s">
        <v>8</v>
      </c>
      <c r="S29" s="1575">
        <f t="shared" si="12"/>
        <v>100</v>
      </c>
      <c r="T29" s="1574" t="s">
        <v>8</v>
      </c>
      <c r="U29" s="1575">
        <f t="shared" si="13"/>
        <v>100</v>
      </c>
      <c r="V29" s="1574" t="s">
        <v>8</v>
      </c>
      <c r="W29" s="1575">
        <f t="shared" si="14"/>
        <v>100</v>
      </c>
      <c r="X29" s="1568"/>
      <c r="Y29" s="339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8" t="s">
        <v>550</v>
      </c>
      <c r="Q35" s="1573" t="str">
        <f t="shared" si="11"/>
        <v>市政基础设施</v>
      </c>
      <c r="R35" s="1574" t="s">
        <v>8</v>
      </c>
      <c r="S35" s="1575">
        <f t="shared" si="12"/>
        <v>100</v>
      </c>
      <c r="T35" s="1574" t="s">
        <v>8</v>
      </c>
      <c r="U35" s="1575">
        <f t="shared" si="13"/>
        <v>100</v>
      </c>
      <c r="V35" s="1574" t="s">
        <v>8</v>
      </c>
      <c r="W35" s="1575">
        <f t="shared" si="14"/>
        <v>100</v>
      </c>
      <c r="X35" s="1568"/>
      <c r="Y35" s="339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25"/>
      <c r="Q40" s="1573">
        <f t="shared" si="11"/>
        <v>111</v>
      </c>
      <c r="R40" s="1574" t="s">
        <v>8</v>
      </c>
      <c r="S40" s="1575">
        <f t="shared" si="12"/>
        <v>100</v>
      </c>
      <c r="T40" s="1574" t="s">
        <v>8</v>
      </c>
      <c r="U40" s="1575">
        <f t="shared" si="13"/>
        <v>100</v>
      </c>
      <c r="V40" s="1574" t="s">
        <v>8</v>
      </c>
      <c r="W40" s="1575">
        <f t="shared" si="14"/>
        <v>100</v>
      </c>
      <c r="X40" s="1568"/>
      <c r="Y40" s="3425"/>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93" t="str">
        <f>A41</f>
        <v>成交单价（元/平方米）</v>
      </c>
      <c r="Q41" s="3393"/>
      <c r="R41" s="3426">
        <f>E41</f>
        <v>0</v>
      </c>
      <c r="S41" s="3426"/>
      <c r="T41" s="3426">
        <f>G41</f>
        <v>0</v>
      </c>
      <c r="U41" s="3426"/>
      <c r="V41" s="3426">
        <f>I41</f>
        <v>0</v>
      </c>
      <c r="W41" s="3426"/>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93" t="str">
        <f>A42</f>
        <v>比较价格（元/平方米）</v>
      </c>
      <c r="Q42" s="3393"/>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560"/>
      <c r="Y42" s="1560"/>
      <c r="Z42" s="1560"/>
      <c r="AA42" s="1560"/>
      <c r="AB42" s="1560"/>
      <c r="AC42" s="1560"/>
    </row>
    <row r="43" spans="1:29" ht="15.75" thickBot="1">
      <c r="A43" s="621" t="s">
        <v>2935</v>
      </c>
      <c r="B43" s="622"/>
      <c r="C43" s="2616" t="e">
        <f>R43</f>
        <v>#DIV/0!</v>
      </c>
      <c r="D43" s="2616"/>
      <c r="E43" s="2616"/>
      <c r="F43" s="2616"/>
      <c r="G43" s="2616"/>
      <c r="H43" s="2616"/>
      <c r="I43" s="2616"/>
      <c r="J43" s="2616"/>
      <c r="K43" s="1614"/>
      <c r="L43" s="2145"/>
      <c r="M43" s="2146"/>
      <c r="N43" s="2146"/>
      <c r="O43" s="2146"/>
      <c r="P43" s="3414" t="str">
        <f>A43</f>
        <v>估价对象XX用房的比较价格（楼面单价，元/平方米）</v>
      </c>
      <c r="Q43" s="3415"/>
      <c r="R43" s="3427" t="e">
        <f>IF(F1="售价",ROUND(AVERAGE(R42:V42),0),ROUND(AVERAGE(R42:V42),1))</f>
        <v>#DIV/0!</v>
      </c>
      <c r="S43" s="3427"/>
      <c r="T43" s="3427"/>
      <c r="U43" s="3427"/>
      <c r="V43" s="3427"/>
      <c r="W43" s="3427"/>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9" t="s">
        <v>798</v>
      </c>
      <c r="D4" s="3400"/>
      <c r="E4" s="3399" t="s">
        <v>799</v>
      </c>
      <c r="F4" s="3400"/>
      <c r="G4" s="3399" t="s">
        <v>800</v>
      </c>
      <c r="H4" s="3400"/>
      <c r="I4" s="3399" t="s">
        <v>801</v>
      </c>
      <c r="J4" s="3400"/>
      <c r="K4" s="514" t="s">
        <v>802</v>
      </c>
      <c r="L4" s="2134"/>
      <c r="M4" s="2135"/>
      <c r="N4" s="2135"/>
      <c r="O4" s="2135"/>
      <c r="P4" s="3401" t="s">
        <v>803</v>
      </c>
      <c r="Q4" s="3402"/>
      <c r="R4" s="3387" t="s">
        <v>799</v>
      </c>
      <c r="S4" s="3388"/>
      <c r="T4" s="3387" t="s">
        <v>800</v>
      </c>
      <c r="U4" s="3388"/>
      <c r="V4" s="3407" t="s">
        <v>801</v>
      </c>
      <c r="W4" s="3407"/>
      <c r="X4" s="1568"/>
      <c r="Y4" s="3387" t="s">
        <v>803</v>
      </c>
      <c r="Z4" s="3388"/>
      <c r="AA4" s="3382" t="s">
        <v>799</v>
      </c>
      <c r="AB4" s="3383" t="s">
        <v>800</v>
      </c>
      <c r="AC4" s="3382" t="s">
        <v>801</v>
      </c>
    </row>
    <row r="5" spans="1:29" ht="15">
      <c r="A5" s="515"/>
      <c r="B5" s="516"/>
      <c r="C5" s="3410" t="s">
        <v>2929</v>
      </c>
      <c r="D5" s="3411"/>
      <c r="E5" s="3410" t="s">
        <v>2930</v>
      </c>
      <c r="F5" s="3411"/>
      <c r="G5" s="3410" t="s">
        <v>2931</v>
      </c>
      <c r="H5" s="3411"/>
      <c r="I5" s="3410" t="s">
        <v>2932</v>
      </c>
      <c r="J5" s="3411"/>
      <c r="K5" s="514"/>
      <c r="L5" s="2134"/>
      <c r="M5" s="2135"/>
      <c r="N5" s="2135"/>
      <c r="O5" s="2135"/>
      <c r="P5" s="3403"/>
      <c r="Q5" s="3404"/>
      <c r="R5" s="3389"/>
      <c r="S5" s="3390"/>
      <c r="T5" s="3389"/>
      <c r="U5" s="3390"/>
      <c r="V5" s="3407"/>
      <c r="W5" s="3407"/>
      <c r="X5" s="1568"/>
      <c r="Y5" s="3389"/>
      <c r="Z5" s="3390"/>
      <c r="AA5" s="3383"/>
      <c r="AB5" s="3383"/>
      <c r="AC5" s="3383"/>
    </row>
    <row r="6" spans="1:29" ht="15.75" thickBot="1">
      <c r="A6" s="517"/>
      <c r="B6" s="518"/>
      <c r="C6" s="3408" t="s">
        <v>2933</v>
      </c>
      <c r="D6" s="3409"/>
      <c r="E6" s="3412" t="s">
        <v>2933</v>
      </c>
      <c r="F6" s="3413"/>
      <c r="G6" s="3408" t="s">
        <v>2933</v>
      </c>
      <c r="H6" s="3409"/>
      <c r="I6" s="3408" t="s">
        <v>2933</v>
      </c>
      <c r="J6" s="3409"/>
      <c r="K6" s="514" t="s">
        <v>528</v>
      </c>
      <c r="L6" s="2134"/>
      <c r="M6" s="2135"/>
      <c r="N6" s="2135"/>
      <c r="O6" s="2135"/>
      <c r="P6" s="3405"/>
      <c r="Q6" s="3406"/>
      <c r="R6" s="3389"/>
      <c r="S6" s="3390"/>
      <c r="T6" s="3391"/>
      <c r="U6" s="3392"/>
      <c r="V6" s="3407"/>
      <c r="W6" s="3407"/>
      <c r="X6" s="1568"/>
      <c r="Y6" s="3391"/>
      <c r="Z6" s="3392"/>
      <c r="AA6" s="3384"/>
      <c r="AB6" s="3384"/>
      <c r="AC6" s="3384"/>
    </row>
    <row r="7" spans="1:29" s="1220" customFormat="1" ht="15.75" thickBot="1">
      <c r="A7" s="2891"/>
      <c r="B7" s="2898" t="s">
        <v>529</v>
      </c>
      <c r="C7" s="519">
        <f>'数据-取费表'!B2</f>
        <v>43564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5" t="s">
        <v>530</v>
      </c>
      <c r="Q7" s="3394"/>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36" si="3">D8/F8</f>
        <v>#DIV/0!</v>
      </c>
      <c r="AB8" s="1572" t="e">
        <f t="shared" ref="AB8:AB36" si="4">D8/H8</f>
        <v>#DIV/0!</v>
      </c>
      <c r="AC8" s="1572" t="e">
        <f t="shared" ref="AC8:AC36" si="5">D8/J8</f>
        <v>#DIV/0!</v>
      </c>
    </row>
    <row r="9" spans="1:29" s="1220" customFormat="1" ht="15">
      <c r="A9" s="2893"/>
      <c r="B9" s="2900"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3" t="s">
        <v>535</v>
      </c>
      <c r="Q9" s="1151" t="str">
        <f t="shared" ref="Q9:Q14" si="6">B9</f>
        <v>用途</v>
      </c>
      <c r="R9" s="1569" t="s">
        <v>8</v>
      </c>
      <c r="S9" s="1570">
        <f t="shared" si="0"/>
        <v>100</v>
      </c>
      <c r="T9" s="1569" t="s">
        <v>8</v>
      </c>
      <c r="U9" s="1570">
        <f t="shared" si="1"/>
        <v>100</v>
      </c>
      <c r="V9" s="1569" t="s">
        <v>8</v>
      </c>
      <c r="W9" s="1570">
        <f t="shared" si="2"/>
        <v>100</v>
      </c>
      <c r="X9" s="1571"/>
      <c r="Y9" s="3350"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85.5">
      <c r="A14" s="2889"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6"/>
      <c r="Q15" s="1573"/>
      <c r="R15" s="1574"/>
      <c r="S15" s="1575"/>
      <c r="T15" s="1574"/>
      <c r="U15" s="1575"/>
      <c r="V15" s="1574"/>
      <c r="W15" s="1575"/>
      <c r="X15" s="1568"/>
      <c r="Y15" s="3396"/>
      <c r="Z15" s="1576"/>
      <c r="AA15" s="1577">
        <v>1</v>
      </c>
      <c r="AB15" s="1577">
        <v>1</v>
      </c>
      <c r="AC15" s="1577">
        <v>1</v>
      </c>
    </row>
    <row r="16" spans="1:29" ht="42.75">
      <c r="A16" s="515"/>
      <c r="B16" s="258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6"/>
      <c r="Q17" s="1573"/>
      <c r="R17" s="1574"/>
      <c r="S17" s="1575"/>
      <c r="T17" s="1574"/>
      <c r="U17" s="1575"/>
      <c r="V17" s="1574"/>
      <c r="W17" s="1575"/>
      <c r="X17" s="1568"/>
      <c r="Y17" s="3396"/>
      <c r="Z17" s="1576"/>
      <c r="AA17" s="1577">
        <v>1</v>
      </c>
      <c r="AB17" s="1577">
        <v>1</v>
      </c>
      <c r="AC17" s="1577">
        <v>1</v>
      </c>
    </row>
    <row r="18" spans="1:29" ht="28.5">
      <c r="A18" s="515"/>
      <c r="B18" s="257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6"/>
      <c r="Q18" s="2559" t="str">
        <f>B18</f>
        <v>基础设施水平</v>
      </c>
      <c r="R18" s="1574" t="s">
        <v>8</v>
      </c>
      <c r="S18" s="1575">
        <f>F18</f>
        <v>100</v>
      </c>
      <c r="T18" s="1574" t="s">
        <v>8</v>
      </c>
      <c r="U18" s="1575">
        <f>H18</f>
        <v>100</v>
      </c>
      <c r="V18" s="1574" t="s">
        <v>8</v>
      </c>
      <c r="W18" s="1575">
        <f>J18</f>
        <v>100</v>
      </c>
      <c r="X18" s="2561"/>
      <c r="Y18" s="339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96"/>
      <c r="Q19" s="2559"/>
      <c r="R19" s="1574"/>
      <c r="S19" s="1575"/>
      <c r="T19" s="1574"/>
      <c r="U19" s="1575"/>
      <c r="V19" s="1574"/>
      <c r="W19" s="1575"/>
      <c r="X19" s="2561"/>
      <c r="Y19" s="339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6"/>
      <c r="Q21" s="1573"/>
      <c r="R21" s="1574"/>
      <c r="S21" s="1575"/>
      <c r="T21" s="1574"/>
      <c r="U21" s="1575"/>
      <c r="V21" s="1574"/>
      <c r="W21" s="1575"/>
      <c r="X21" s="1568"/>
      <c r="Y21" s="339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8" t="s">
        <v>550</v>
      </c>
      <c r="Q32" s="1573" t="str">
        <f t="shared" si="11"/>
        <v>车位类型</v>
      </c>
      <c r="R32" s="1574" t="s">
        <v>8</v>
      </c>
      <c r="S32" s="1575">
        <f t="shared" si="12"/>
        <v>100</v>
      </c>
      <c r="T32" s="1574" t="s">
        <v>8</v>
      </c>
      <c r="U32" s="1575">
        <f t="shared" si="13"/>
        <v>100</v>
      </c>
      <c r="V32" s="1574" t="s">
        <v>8</v>
      </c>
      <c r="W32" s="1575">
        <f t="shared" si="14"/>
        <v>100</v>
      </c>
      <c r="X32" s="1568"/>
      <c r="Y32" s="339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93" t="str">
        <f>A37</f>
        <v>成交单价</v>
      </c>
      <c r="Q37" s="3393"/>
      <c r="R37" s="3426">
        <f>E37</f>
        <v>0</v>
      </c>
      <c r="S37" s="3426"/>
      <c r="T37" s="3426">
        <f>G37</f>
        <v>0</v>
      </c>
      <c r="U37" s="3426"/>
      <c r="V37" s="3426">
        <f>I37</f>
        <v>0</v>
      </c>
      <c r="W37" s="3426"/>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93" t="str">
        <f>A38</f>
        <v>比较价格（元/平方米）</v>
      </c>
      <c r="Q38" s="3393"/>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560"/>
      <c r="Y38" s="1560"/>
      <c r="Z38" s="1560"/>
      <c r="AA38" s="1560"/>
      <c r="AB38" s="1560"/>
      <c r="AC38" s="1560"/>
    </row>
    <row r="39" spans="1:29" ht="15.75" thickBot="1">
      <c r="A39" s="621" t="s">
        <v>2935</v>
      </c>
      <c r="B39" s="622"/>
      <c r="C39" s="2616" t="e">
        <f>R39</f>
        <v>#DIV/0!</v>
      </c>
      <c r="D39" s="2616"/>
      <c r="E39" s="2616"/>
      <c r="F39" s="2616"/>
      <c r="G39" s="2616"/>
      <c r="H39" s="2616"/>
      <c r="I39" s="2616"/>
      <c r="J39" s="2616"/>
      <c r="K39" s="1614"/>
      <c r="L39" s="2145"/>
      <c r="M39" s="2146"/>
      <c r="N39" s="2146"/>
      <c r="O39" s="2146"/>
      <c r="P39" s="3414" t="str">
        <f>A39</f>
        <v>估价对象XX用房的比较价格（楼面单价，元/平方米）</v>
      </c>
      <c r="Q39" s="3415"/>
      <c r="R39" s="3427" t="e">
        <f>IF(F1="售价",ROUND(AVERAGE(R38:V38),0),ROUND(AVERAGE(R38:V38),1))</f>
        <v>#DIV/0!</v>
      </c>
      <c r="S39" s="3427"/>
      <c r="T39" s="3427"/>
      <c r="U39" s="3427"/>
      <c r="V39" s="3427"/>
      <c r="W39" s="3427"/>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93.75">
      <c r="A7" s="2852" t="s">
        <v>2748</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2749</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9" t="s">
        <v>798</v>
      </c>
      <c r="D4" s="3400"/>
      <c r="E4" s="3418" t="s">
        <v>799</v>
      </c>
      <c r="F4" s="3419"/>
      <c r="G4" s="3399" t="s">
        <v>800</v>
      </c>
      <c r="H4" s="3400"/>
      <c r="I4" s="3399" t="s">
        <v>801</v>
      </c>
      <c r="J4" s="3400"/>
      <c r="K4" s="514" t="s">
        <v>802</v>
      </c>
      <c r="L4" s="2134"/>
      <c r="M4" s="2135"/>
      <c r="N4" s="2135"/>
      <c r="O4" s="2135"/>
      <c r="P4" s="3401" t="s">
        <v>803</v>
      </c>
      <c r="Q4" s="3402"/>
      <c r="R4" s="3387" t="s">
        <v>799</v>
      </c>
      <c r="S4" s="3388"/>
      <c r="T4" s="3387" t="s">
        <v>800</v>
      </c>
      <c r="U4" s="3388"/>
      <c r="V4" s="3407" t="s">
        <v>801</v>
      </c>
      <c r="W4" s="3407"/>
      <c r="X4" s="1568"/>
      <c r="Y4" s="3387" t="s">
        <v>803</v>
      </c>
      <c r="Z4" s="3388"/>
      <c r="AA4" s="3382" t="s">
        <v>799</v>
      </c>
      <c r="AB4" s="3383" t="s">
        <v>800</v>
      </c>
      <c r="AC4" s="3382" t="s">
        <v>801</v>
      </c>
    </row>
    <row r="5" spans="1:29" ht="15">
      <c r="A5" s="515"/>
      <c r="B5" s="516"/>
      <c r="C5" s="3410" t="s">
        <v>2929</v>
      </c>
      <c r="D5" s="3411"/>
      <c r="E5" s="3433" t="s">
        <v>2930</v>
      </c>
      <c r="F5" s="3421"/>
      <c r="G5" s="3410" t="s">
        <v>2931</v>
      </c>
      <c r="H5" s="3411"/>
      <c r="I5" s="3410" t="s">
        <v>2932</v>
      </c>
      <c r="J5" s="3411"/>
      <c r="K5" s="514"/>
      <c r="L5" s="2134"/>
      <c r="M5" s="2135"/>
      <c r="N5" s="2135"/>
      <c r="O5" s="2135"/>
      <c r="P5" s="3403"/>
      <c r="Q5" s="3404"/>
      <c r="R5" s="3389"/>
      <c r="S5" s="3390"/>
      <c r="T5" s="3389"/>
      <c r="U5" s="3390"/>
      <c r="V5" s="3407"/>
      <c r="W5" s="3407"/>
      <c r="X5" s="1568"/>
      <c r="Y5" s="3389"/>
      <c r="Z5" s="3390"/>
      <c r="AA5" s="3383"/>
      <c r="AB5" s="3383"/>
      <c r="AC5" s="3383"/>
    </row>
    <row r="6" spans="1:29" ht="15.75" thickBot="1">
      <c r="A6" s="517"/>
      <c r="B6" s="518"/>
      <c r="C6" s="3408" t="s">
        <v>2933</v>
      </c>
      <c r="D6" s="3409"/>
      <c r="E6" s="3423" t="s">
        <v>2933</v>
      </c>
      <c r="F6" s="3424"/>
      <c r="G6" s="3408" t="s">
        <v>2933</v>
      </c>
      <c r="H6" s="3409"/>
      <c r="I6" s="3408" t="s">
        <v>2933</v>
      </c>
      <c r="J6" s="3409"/>
      <c r="K6" s="514" t="s">
        <v>528</v>
      </c>
      <c r="L6" s="2134"/>
      <c r="M6" s="2135"/>
      <c r="N6" s="2135"/>
      <c r="O6" s="2135"/>
      <c r="P6" s="3405"/>
      <c r="Q6" s="3406"/>
      <c r="R6" s="3389"/>
      <c r="S6" s="3390"/>
      <c r="T6" s="3391"/>
      <c r="U6" s="3392"/>
      <c r="V6" s="3407"/>
      <c r="W6" s="3407"/>
      <c r="X6" s="1568"/>
      <c r="Y6" s="3391"/>
      <c r="Z6" s="3392"/>
      <c r="AA6" s="3384"/>
      <c r="AB6" s="3384"/>
      <c r="AC6" s="3384"/>
    </row>
    <row r="7" spans="1:29" s="1220" customFormat="1" ht="15.75" thickBot="1">
      <c r="A7" s="2891"/>
      <c r="B7" s="2898" t="s">
        <v>529</v>
      </c>
      <c r="C7" s="519">
        <f>'数据-取费表'!B2</f>
        <v>43564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5" t="s">
        <v>530</v>
      </c>
      <c r="Q7" s="3394"/>
      <c r="R7" s="1569" t="s">
        <v>8</v>
      </c>
      <c r="S7" s="1570">
        <f t="shared" ref="S7:S14" si="0">F7</f>
        <v>0</v>
      </c>
      <c r="T7" s="1569" t="s">
        <v>8</v>
      </c>
      <c r="U7" s="1570">
        <f t="shared" ref="U7:U14" si="1">H7</f>
        <v>0</v>
      </c>
      <c r="V7" s="1569" t="s">
        <v>8</v>
      </c>
      <c r="W7" s="1570">
        <f t="shared" ref="W7:W14" si="2">J7</f>
        <v>0</v>
      </c>
      <c r="X7" s="1571"/>
      <c r="Y7" s="3385" t="s">
        <v>530</v>
      </c>
      <c r="Z7" s="3386"/>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5" t="s">
        <v>533</v>
      </c>
      <c r="Q8" s="3386"/>
      <c r="R8" s="1569" t="s">
        <v>8</v>
      </c>
      <c r="S8" s="1570">
        <f t="shared" si="0"/>
        <v>0</v>
      </c>
      <c r="T8" s="1569" t="s">
        <v>8</v>
      </c>
      <c r="U8" s="1570">
        <f t="shared" si="1"/>
        <v>0</v>
      </c>
      <c r="V8" s="1569" t="s">
        <v>8</v>
      </c>
      <c r="W8" s="1570">
        <f t="shared" si="2"/>
        <v>0</v>
      </c>
      <c r="X8" s="1571"/>
      <c r="Y8" s="3385" t="s">
        <v>533</v>
      </c>
      <c r="Z8" s="3386"/>
      <c r="AA8" s="1572" t="e">
        <f t="shared" ref="AA8:AA34" si="3">D8/F8</f>
        <v>#DIV/0!</v>
      </c>
      <c r="AB8" s="1572" t="e">
        <f t="shared" ref="AB8:AB34" si="4">D8/H8</f>
        <v>#DIV/0!</v>
      </c>
      <c r="AC8" s="1572" t="e">
        <f t="shared" ref="AC8:AC34" si="5">D8/J8</f>
        <v>#DIV/0!</v>
      </c>
    </row>
    <row r="9" spans="1:29" s="1220" customFormat="1" ht="15">
      <c r="A9" s="2893"/>
      <c r="B9" s="2900"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3" t="s">
        <v>535</v>
      </c>
      <c r="Q9" s="1151" t="str">
        <f t="shared" ref="Q9:Q14" si="6">B9</f>
        <v>用途</v>
      </c>
      <c r="R9" s="1569" t="s">
        <v>8</v>
      </c>
      <c r="S9" s="1570">
        <f t="shared" si="0"/>
        <v>100</v>
      </c>
      <c r="T9" s="1569" t="s">
        <v>8</v>
      </c>
      <c r="U9" s="1570">
        <f t="shared" si="1"/>
        <v>100</v>
      </c>
      <c r="V9" s="1569" t="s">
        <v>8</v>
      </c>
      <c r="W9" s="1570">
        <f t="shared" si="2"/>
        <v>100</v>
      </c>
      <c r="X9" s="1571"/>
      <c r="Y9" s="3350"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85.5">
      <c r="A14" s="2889"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6"/>
      <c r="Q15" s="1573"/>
      <c r="R15" s="1574"/>
      <c r="S15" s="1575"/>
      <c r="T15" s="1574"/>
      <c r="U15" s="1575"/>
      <c r="V15" s="1574"/>
      <c r="W15" s="1575"/>
      <c r="X15" s="1568"/>
      <c r="Y15" s="3396"/>
      <c r="Z15" s="1576"/>
      <c r="AA15" s="1577">
        <v>1</v>
      </c>
      <c r="AB15" s="1577">
        <v>1</v>
      </c>
      <c r="AC15" s="1577">
        <v>1</v>
      </c>
    </row>
    <row r="16" spans="1:29" ht="42.75">
      <c r="A16" s="532"/>
      <c r="B16" s="258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6"/>
      <c r="Q17" s="1573"/>
      <c r="R17" s="1574"/>
      <c r="S17" s="1575"/>
      <c r="T17" s="1574"/>
      <c r="U17" s="1575"/>
      <c r="V17" s="1574"/>
      <c r="W17" s="1575"/>
      <c r="X17" s="1568"/>
      <c r="Y17" s="3396"/>
      <c r="Z17" s="1576"/>
      <c r="AA17" s="1577">
        <v>1</v>
      </c>
      <c r="AB17" s="1577">
        <v>1</v>
      </c>
      <c r="AC17" s="1577">
        <v>1</v>
      </c>
    </row>
    <row r="18" spans="1:29" ht="28.5">
      <c r="A18" s="532"/>
      <c r="B18" s="257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6"/>
      <c r="Q18" s="2559" t="str">
        <f>B18</f>
        <v>基础设施水平</v>
      </c>
      <c r="R18" s="1574" t="s">
        <v>8</v>
      </c>
      <c r="S18" s="1575">
        <f>F18</f>
        <v>100</v>
      </c>
      <c r="T18" s="1574" t="s">
        <v>8</v>
      </c>
      <c r="U18" s="1575">
        <f>H18</f>
        <v>100</v>
      </c>
      <c r="V18" s="1574" t="s">
        <v>8</v>
      </c>
      <c r="W18" s="1575">
        <f>J18</f>
        <v>100</v>
      </c>
      <c r="X18" s="2561"/>
      <c r="Y18" s="339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96"/>
      <c r="Q19" s="2559"/>
      <c r="R19" s="1574"/>
      <c r="S19" s="1575"/>
      <c r="T19" s="1574"/>
      <c r="U19" s="1575"/>
      <c r="V19" s="1574"/>
      <c r="W19" s="1575"/>
      <c r="X19" s="2561"/>
      <c r="Y19" s="339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6"/>
      <c r="Q21" s="1573"/>
      <c r="R21" s="1574"/>
      <c r="S21" s="1575"/>
      <c r="T21" s="1574"/>
      <c r="U21" s="1575"/>
      <c r="V21" s="1574"/>
      <c r="W21" s="1575"/>
      <c r="X21" s="1568"/>
      <c r="Y21" s="339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8" t="s">
        <v>550</v>
      </c>
      <c r="Q32" s="1573">
        <f t="shared" si="11"/>
        <v>111</v>
      </c>
      <c r="R32" s="1574" t="s">
        <v>8</v>
      </c>
      <c r="S32" s="1575">
        <f t="shared" si="12"/>
        <v>100</v>
      </c>
      <c r="T32" s="1574" t="s">
        <v>8</v>
      </c>
      <c r="U32" s="1575">
        <f t="shared" si="13"/>
        <v>100</v>
      </c>
      <c r="V32" s="1574" t="s">
        <v>8</v>
      </c>
      <c r="W32" s="1575">
        <f t="shared" si="14"/>
        <v>100</v>
      </c>
      <c r="X32" s="1568"/>
      <c r="Y32" s="339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93" t="str">
        <f>A35</f>
        <v>成交单价（元/平方米）</v>
      </c>
      <c r="Q35" s="3393"/>
      <c r="R35" s="3426">
        <f>E35</f>
        <v>0</v>
      </c>
      <c r="S35" s="3426"/>
      <c r="T35" s="3426">
        <f>G35</f>
        <v>0</v>
      </c>
      <c r="U35" s="3426"/>
      <c r="V35" s="3426">
        <f>I35</f>
        <v>0</v>
      </c>
      <c r="W35" s="3426"/>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93" t="str">
        <f>A36</f>
        <v>比较价格（元/平方米）</v>
      </c>
      <c r="Q36" s="3393"/>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560"/>
      <c r="Y36" s="1560"/>
      <c r="Z36" s="1560"/>
      <c r="AA36" s="1560"/>
      <c r="AB36" s="1560"/>
      <c r="AC36" s="1560"/>
    </row>
    <row r="37" spans="1:29" ht="15.75" thickBot="1">
      <c r="A37" s="621" t="s">
        <v>2935</v>
      </c>
      <c r="B37" s="622"/>
      <c r="C37" s="2616" t="e">
        <f>R37</f>
        <v>#DIV/0!</v>
      </c>
      <c r="D37" s="2616"/>
      <c r="E37" s="2616"/>
      <c r="F37" s="2616"/>
      <c r="G37" s="2616"/>
      <c r="H37" s="2616"/>
      <c r="I37" s="2616"/>
      <c r="J37" s="2616"/>
      <c r="K37" s="1614"/>
      <c r="L37" s="2145"/>
      <c r="M37" s="2146"/>
      <c r="N37" s="2146"/>
      <c r="O37" s="2146"/>
      <c r="P37" s="3414" t="str">
        <f>A37</f>
        <v>估价对象XX用房的比较价格（楼面单价，元/平方米）</v>
      </c>
      <c r="Q37" s="3415"/>
      <c r="R37" s="3427" t="e">
        <f>IF(F1="售价",ROUND(AVERAGE(R36:V36),0),ROUND(AVERAGE(R36:V36),1))</f>
        <v>#DIV/0!</v>
      </c>
      <c r="S37" s="3427"/>
      <c r="T37" s="3427"/>
      <c r="U37" s="3427"/>
      <c r="V37" s="3427"/>
      <c r="W37" s="3427"/>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5" t="s">
        <v>2305</v>
      </c>
      <c r="D1" s="3506"/>
      <c r="E1" s="3506"/>
      <c r="F1" s="3506"/>
      <c r="G1" s="3506"/>
      <c r="H1" s="3506"/>
      <c r="I1" s="3506"/>
      <c r="J1" s="3506"/>
      <c r="K1" s="3506"/>
      <c r="L1" s="3506"/>
      <c r="M1" s="3506"/>
      <c r="N1" s="3506"/>
      <c r="O1" s="3506"/>
      <c r="P1" s="3506"/>
      <c r="Q1" s="3506"/>
      <c r="R1" s="3506"/>
      <c r="S1" s="350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3"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5"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5"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3"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3"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3"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43564</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2039</v>
      </c>
      <c r="B1" s="3216"/>
      <c r="C1" s="3216"/>
      <c r="D1" s="3216"/>
      <c r="E1" s="3216"/>
      <c r="F1" s="3216"/>
      <c r="G1" s="3216"/>
      <c r="H1" s="3216"/>
      <c r="I1" s="3216"/>
      <c r="J1" s="3216"/>
      <c r="K1" s="3216"/>
      <c r="L1" s="3216"/>
      <c r="M1" s="3216"/>
      <c r="N1" s="3216"/>
      <c r="O1" s="3216"/>
      <c r="P1" s="3216"/>
      <c r="Q1" s="3216"/>
      <c r="R1" s="3216"/>
    </row>
    <row r="2" spans="1:18">
      <c r="A2" s="1808" t="s">
        <v>2041</v>
      </c>
      <c r="B2" s="1808"/>
      <c r="C2" s="1808"/>
      <c r="D2" s="1808"/>
      <c r="E2" s="1808"/>
      <c r="F2" s="1808"/>
      <c r="G2" s="1808"/>
      <c r="H2" s="1808"/>
      <c r="I2" s="1809"/>
      <c r="J2" s="1809"/>
      <c r="K2" s="1810" t="str">
        <f>"估价期日："&amp;TEXT(项目基本情况!D3,"yyyy年m月d日;;")</f>
        <v>估价期日：2019年4月9日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7" t="s">
        <v>2030</v>
      </c>
      <c r="B3" s="3217" t="s">
        <v>2731</v>
      </c>
      <c r="C3" s="3218" t="s">
        <v>2031</v>
      </c>
      <c r="D3" s="3217" t="s">
        <v>2735</v>
      </c>
      <c r="E3" s="3212" t="s">
        <v>2032</v>
      </c>
      <c r="F3" s="3212"/>
      <c r="G3" s="3212"/>
      <c r="H3" s="3212" t="s">
        <v>2033</v>
      </c>
      <c r="I3" s="3212"/>
      <c r="J3" s="3212"/>
      <c r="K3" s="3218" t="s">
        <v>2034</v>
      </c>
      <c r="L3" s="3218" t="s">
        <v>2035</v>
      </c>
      <c r="M3" s="3217" t="s">
        <v>2732</v>
      </c>
      <c r="N3" s="3219" t="str">
        <f>"（分摊）"&amp;项目基本情况!B16&amp;"国有建设用地使用权面积/㎡"</f>
        <v>（分摊）出让国有建设用地使用权面积/㎡</v>
      </c>
      <c r="O3" s="3217" t="s">
        <v>2064</v>
      </c>
      <c r="P3" s="3218" t="s">
        <v>2044</v>
      </c>
      <c r="Q3" s="3218" t="s">
        <v>2065</v>
      </c>
      <c r="R3" s="3218" t="s">
        <v>2036</v>
      </c>
    </row>
    <row r="4" spans="1:18" ht="36.75" customHeight="1">
      <c r="A4" s="3217"/>
      <c r="B4" s="3217"/>
      <c r="C4" s="3218"/>
      <c r="D4" s="3217"/>
      <c r="E4" s="2629" t="s">
        <v>2043</v>
      </c>
      <c r="F4" s="2629" t="s">
        <v>2744</v>
      </c>
      <c r="G4" s="2629" t="s">
        <v>2037</v>
      </c>
      <c r="H4" s="2629" t="s">
        <v>2038</v>
      </c>
      <c r="I4" s="2629" t="s">
        <v>2745</v>
      </c>
      <c r="J4" s="2629" t="s">
        <v>2037</v>
      </c>
      <c r="K4" s="3218"/>
      <c r="L4" s="3218"/>
      <c r="M4" s="3217"/>
      <c r="N4" s="3219"/>
      <c r="O4" s="3217"/>
      <c r="P4" s="3218"/>
      <c r="Q4" s="3218"/>
      <c r="R4" s="3218"/>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35517.65</v>
      </c>
      <c r="O5" s="1811">
        <f>项目基本情况!C21</f>
        <v>183164</v>
      </c>
      <c r="P5" s="1811">
        <f ca="1">结果表!E42</f>
        <v>23790</v>
      </c>
      <c r="Q5" s="1811">
        <f ca="1">结果表!D42</f>
        <v>4613</v>
      </c>
      <c r="R5" s="1812">
        <f ca="1">结果表!C42</f>
        <v>84498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3">
        <f ca="1">结果表!O39</f>
        <v>84498</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3"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0" t="s">
        <v>2066</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2067</v>
      </c>
      <c r="B5" s="3223"/>
      <c r="C5" s="3223"/>
      <c r="D5" s="3223"/>
    </row>
    <row r="6" spans="1:4">
      <c r="A6" s="3220" t="s">
        <v>2045</v>
      </c>
      <c r="B6" s="3220"/>
      <c r="C6" s="3220"/>
      <c r="D6" s="3220"/>
    </row>
    <row r="7" spans="1:4" ht="33" customHeight="1">
      <c r="A7" s="3220" t="s">
        <v>2575</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2069</v>
      </c>
      <c r="B12" s="3223"/>
      <c r="C12" s="3223"/>
      <c r="D12" s="3223"/>
    </row>
    <row r="13" spans="1:4">
      <c r="A13" s="3221" t="s">
        <v>2746</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2702</v>
      </c>
      <c r="B17" s="3220"/>
      <c r="C17" s="3220"/>
      <c r="D17" s="3220"/>
    </row>
    <row r="18" spans="1:4">
      <c r="A18" s="3220" t="s">
        <v>2694</v>
      </c>
      <c r="B18" s="3220"/>
      <c r="C18" s="3220"/>
      <c r="D18" s="3220"/>
    </row>
    <row r="19" spans="1:4">
      <c r="A19" s="2847" t="s">
        <v>2695</v>
      </c>
      <c r="B19" s="2847" t="s">
        <v>2696</v>
      </c>
      <c r="C19" s="2847" t="s">
        <v>2697</v>
      </c>
      <c r="D19" s="2847" t="s">
        <v>2698</v>
      </c>
    </row>
    <row r="20" spans="1:4">
      <c r="A20" s="2847" t="str">
        <f>项目基本情况!B4</f>
        <v>王鹏</v>
      </c>
      <c r="B20" s="2847">
        <f ca="1">项目基本情况!C4</f>
        <v>2002110030</v>
      </c>
      <c r="C20" s="2849"/>
      <c r="D20" s="1801" t="s">
        <v>2703</v>
      </c>
    </row>
    <row r="21" spans="1:4">
      <c r="A21" s="2847" t="str">
        <f>项目基本情况!D4</f>
        <v>郑燚</v>
      </c>
      <c r="B21" s="2847">
        <f ca="1">项目基本情况!E4</f>
        <v>2014110011</v>
      </c>
      <c r="C21" s="2849"/>
      <c r="D21" s="1801" t="s">
        <v>2704</v>
      </c>
    </row>
    <row r="23" spans="1:4">
      <c r="A23" s="3220" t="s">
        <v>2699</v>
      </c>
      <c r="B23" s="3220"/>
      <c r="C23" s="3220"/>
      <c r="D23" s="3220"/>
    </row>
    <row r="24" spans="1:4">
      <c r="A24" s="2847" t="s">
        <v>2695</v>
      </c>
      <c r="B24" s="2847" t="s">
        <v>2700</v>
      </c>
      <c r="C24" s="2847" t="s">
        <v>2697</v>
      </c>
      <c r="D24" s="2847" t="s">
        <v>2698</v>
      </c>
    </row>
    <row r="25" spans="1:4">
      <c r="A25" s="2850" t="s">
        <v>2701</v>
      </c>
      <c r="B25" s="2847" t="s">
        <v>952</v>
      </c>
      <c r="C25" s="2849"/>
      <c r="D25" s="1801" t="s">
        <v>2704</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2" t="s">
        <v>53</v>
      </c>
      <c r="B15" s="3233" t="s">
        <v>846</v>
      </c>
      <c r="C15" s="3229"/>
    </row>
    <row r="16" spans="1:7" ht="14.25">
      <c r="A16" s="3232"/>
      <c r="B16" s="3230" t="s">
        <v>54</v>
      </c>
      <c r="C16" s="1172" t="s">
        <v>53</v>
      </c>
    </row>
    <row r="17" spans="1:3" ht="14.25">
      <c r="A17" s="3232"/>
      <c r="B17" s="3230"/>
      <c r="C17" s="1172" t="s">
        <v>55</v>
      </c>
    </row>
    <row r="18" spans="1:3" ht="14.25">
      <c r="A18" s="3232"/>
      <c r="B18" s="3230"/>
      <c r="C18" s="1172" t="s">
        <v>56</v>
      </c>
    </row>
    <row r="19" spans="1:3" ht="14.25">
      <c r="A19" s="3232"/>
      <c r="B19" s="3228" t="s">
        <v>57</v>
      </c>
      <c r="C19" s="3229"/>
    </row>
    <row r="20" spans="1:3" ht="14.25">
      <c r="A20" s="1173" t="s">
        <v>58</v>
      </c>
      <c r="B20" s="1174"/>
      <c r="C20" s="1175"/>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6" t="s">
        <v>837</v>
      </c>
    </row>
    <row r="25" spans="1:3" ht="14.25">
      <c r="A25" s="3231"/>
      <c r="B25" s="3235"/>
      <c r="C25" s="1176" t="s">
        <v>838</v>
      </c>
    </row>
    <row r="26" spans="1:3" ht="14.25">
      <c r="A26" s="3231"/>
      <c r="B26" s="3235"/>
      <c r="C26" s="1176" t="s">
        <v>839</v>
      </c>
    </row>
    <row r="27" spans="1:3" ht="14.25">
      <c r="A27" s="3231"/>
      <c r="B27" s="3235"/>
      <c r="C27" s="1176" t="s">
        <v>840</v>
      </c>
    </row>
    <row r="28" spans="1:3" ht="14.25">
      <c r="A28" s="3231"/>
      <c r="B28" s="3235"/>
      <c r="C28" s="1176" t="s">
        <v>841</v>
      </c>
    </row>
    <row r="29" spans="1:3" ht="14.25">
      <c r="A29" s="3231"/>
      <c r="B29" s="3235"/>
      <c r="C29" s="1176" t="s">
        <v>842</v>
      </c>
    </row>
    <row r="30" spans="1:3" ht="14.25">
      <c r="A30" s="3231"/>
      <c r="B30" s="3235"/>
      <c r="C30" s="1176" t="s">
        <v>843</v>
      </c>
    </row>
    <row r="31" spans="1:3" ht="14.25">
      <c r="A31" s="3231"/>
      <c r="B31" s="3235"/>
      <c r="C31" s="1176" t="s">
        <v>844</v>
      </c>
    </row>
    <row r="32" spans="1:3" ht="14.25">
      <c r="A32" s="3231"/>
      <c r="B32" s="3235"/>
      <c r="C32" s="1176" t="s">
        <v>1647</v>
      </c>
    </row>
    <row r="33" spans="1:3" ht="14.25">
      <c r="A33" s="3231"/>
      <c r="B33" s="3225" t="s">
        <v>1653</v>
      </c>
      <c r="C33" s="1176" t="s">
        <v>1648</v>
      </c>
    </row>
    <row r="34" spans="1:3" ht="14.25">
      <c r="A34" s="3231"/>
      <c r="B34" s="3226"/>
      <c r="C34" s="1181" t="s">
        <v>1649</v>
      </c>
    </row>
    <row r="35" spans="1:3" ht="14.25">
      <c r="A35" s="3231"/>
      <c r="B35" s="3226"/>
      <c r="C35" s="1182" t="s">
        <v>1650</v>
      </c>
    </row>
    <row r="36" spans="1:3" ht="14.25">
      <c r="A36" s="3231"/>
      <c r="B36" s="3226"/>
      <c r="C36" s="1182" t="s">
        <v>1651</v>
      </c>
    </row>
    <row r="37" spans="1:3" ht="14.25">
      <c r="A37" s="3231"/>
      <c r="B37" s="322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43566</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2983</v>
      </c>
      <c r="B14" s="3154">
        <f ca="1">IF(C14&lt;B2,"已过期",1120040230)</f>
        <v>1120040230</v>
      </c>
      <c r="C14" s="3158">
        <v>43835</v>
      </c>
      <c r="D14" s="3159" t="s">
        <v>2984</v>
      </c>
      <c r="E14" s="3154">
        <f ca="1">IF(F14&lt;B2,"已过期",98030020)</f>
        <v>98030020</v>
      </c>
      <c r="F14" s="3157">
        <v>47118</v>
      </c>
    </row>
    <row r="15" spans="1:6" ht="20.25" customHeight="1">
      <c r="A15" s="3154" t="s">
        <v>2574</v>
      </c>
      <c r="B15" s="3154">
        <f ca="1">IF(C15&lt;B2,"已过期",1120070085)</f>
        <v>1120070085</v>
      </c>
      <c r="C15" s="3158">
        <v>43814</v>
      </c>
      <c r="D15" s="3154" t="s">
        <v>2985</v>
      </c>
      <c r="E15" s="3154">
        <f ca="1">IF(F15&lt;B2,"已过期",2004110128)</f>
        <v>2004110128</v>
      </c>
      <c r="F15" s="3160">
        <v>47118</v>
      </c>
    </row>
    <row r="16" spans="1:6" ht="20.25" customHeight="1">
      <c r="A16" s="3154" t="s">
        <v>1924</v>
      </c>
      <c r="B16" s="3154">
        <f ca="1">IF(C16&lt;B2,"已过期",1120140022)</f>
        <v>1120140022</v>
      </c>
      <c r="C16" s="3156">
        <v>44029</v>
      </c>
      <c r="D16" s="3154" t="s">
        <v>2986</v>
      </c>
      <c r="E16" s="3154">
        <f ca="1">IF(F16&lt;B2,"已过期",2008110059)</f>
        <v>2008110059</v>
      </c>
      <c r="F16" s="3157">
        <v>47177</v>
      </c>
    </row>
    <row r="17" spans="1:7" ht="20.25" customHeight="1">
      <c r="A17" s="3154"/>
      <c r="B17" s="3154"/>
      <c r="C17" s="3156"/>
      <c r="D17" s="3159" t="s">
        <v>2987</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36" t="s">
        <v>1927</v>
      </c>
      <c r="B25" s="3236"/>
      <c r="C25" s="3236"/>
      <c r="D25" s="3236"/>
      <c r="E25" s="3236"/>
      <c r="F25" s="3236"/>
      <c r="G25" s="3236"/>
    </row>
    <row r="26" spans="1:7" ht="20.25" customHeight="1">
      <c r="A26" s="3237" t="s">
        <v>1928</v>
      </c>
      <c r="B26" s="3237"/>
      <c r="C26" s="3237"/>
      <c r="D26" s="3237" t="s">
        <v>1929</v>
      </c>
      <c r="E26" s="3237"/>
      <c r="F26" s="3237"/>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2945</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1" sqref="A3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6" t="s">
        <v>2957</v>
      </c>
      <c r="C18" s="1555"/>
    </row>
    <row r="19" spans="1:3">
      <c r="A19" s="8" t="s">
        <v>120</v>
      </c>
      <c r="B19" s="3086" t="s">
        <v>2965</v>
      </c>
      <c r="C19" s="1555"/>
    </row>
    <row r="20" spans="1:3">
      <c r="A20" s="8" t="s">
        <v>121</v>
      </c>
      <c r="B20" s="8" t="s">
        <v>1642</v>
      </c>
      <c r="C20" s="1555"/>
    </row>
    <row r="21" spans="1:3">
      <c r="A21" s="8" t="s">
        <v>122</v>
      </c>
      <c r="B21" s="8" t="s">
        <v>1642</v>
      </c>
      <c r="C21" s="1555"/>
    </row>
    <row r="22" spans="1:3">
      <c r="A22" s="8" t="s">
        <v>123</v>
      </c>
      <c r="B22" s="3086" t="s">
        <v>3013</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3086" t="s">
        <v>3074</v>
      </c>
      <c r="B29" s="8" t="s">
        <v>1642</v>
      </c>
      <c r="C29" s="1555"/>
    </row>
    <row r="30" spans="1:3">
      <c r="A30" s="8" t="s">
        <v>3075</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c r="D53" s="1768"/>
      <c r="E53" s="1768"/>
    </row>
    <row r="54" spans="1:5">
      <c r="A54" s="323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不动产比较法-LOFT公寓</vt:lpstr>
      <vt:lpstr>不动产比较法-平层公寓</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'不动产比较法-LOFT公寓'!住宅朝向</vt:lpstr>
      <vt:lpstr>住宅朝向</vt:lpstr>
      <vt:lpstr>'不动产比较法-LOFT公寓'!住宅房型</vt:lpstr>
      <vt:lpstr>住宅房型</vt:lpstr>
      <vt:lpstr>'不动产比较法-LOFT公寓'!住宅公共部分装修</vt:lpstr>
      <vt:lpstr>住宅公共部分装修</vt:lpstr>
      <vt:lpstr>'不动产比较法-LOFT公寓'!住宅基础设施水平</vt:lpstr>
      <vt:lpstr>住宅基础设施水平</vt:lpstr>
      <vt:lpstr>'不动产比较法-LOFT公寓'!住宅建筑结构</vt:lpstr>
      <vt:lpstr>住宅建筑结构</vt:lpstr>
      <vt:lpstr>'不动产比较法-LOFT公寓'!住宅建筑类型</vt:lpstr>
      <vt:lpstr>住宅建筑类型</vt:lpstr>
      <vt:lpstr>'不动产比较法-LOFT公寓'!住宅建筑品质</vt:lpstr>
      <vt:lpstr>住宅建筑品质</vt:lpstr>
      <vt:lpstr>'不动产比较法-LOFT公寓'!住宅交易情况</vt:lpstr>
      <vt:lpstr>住宅交易情况</vt:lpstr>
      <vt:lpstr>'不动产比较法-LOFT公寓'!住宅楼层</vt:lpstr>
      <vt:lpstr>住宅楼层</vt:lpstr>
      <vt:lpstr>'不动产比较法-LOFT公寓'!住宅内部装修</vt:lpstr>
      <vt:lpstr>住宅内部装修</vt:lpstr>
      <vt:lpstr>'不动产比较法-LOFT公寓'!住宅物业管理</vt:lpstr>
      <vt:lpstr>住宅物业管理</vt:lpstr>
      <vt:lpstr>'不动产比较法-LOFT公寓'!住宅用途</vt:lpstr>
      <vt:lpstr>住宅用途</vt:lpstr>
      <vt:lpstr>'不动产比较法-LOFT公寓'!住宅主力户型面积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2019-04-11T09:18:43Z</dcterms:modified>
</cp:coreProperties>
</file>