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广州询价\结果表\p03\"/>
    </mc:Choice>
  </mc:AlternateContent>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土地案例"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'比较法-住宅、综合'!$A$1:$K$56</definedName>
    <definedName name="_xlnm.Print_Area" localSheetId="30">不动产收益法!$A$1:$F$43</definedName>
    <definedName name="_xlnm.Print_Area" localSheetId="14">估价对象房地状况!$A$1:$G$23</definedName>
    <definedName name="_xlnm.Print_Area" localSheetId="12">'数据-汇总表'!$A$1:$I$32</definedName>
    <definedName name="_xlnm.Print_Area" localSheetId="10">'数据-基础表'!$A$1:$AN$14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48" i="39" l="1"/>
  <c r="I40" i="39"/>
  <c r="I9" i="39"/>
  <c r="I7" i="39"/>
  <c r="E7" i="39"/>
  <c r="I7" i="6"/>
  <c r="C11" i="21"/>
  <c r="G20" i="6"/>
  <c r="AN13" i="3"/>
  <c r="AL13" i="3"/>
  <c r="AD13" i="3"/>
  <c r="C13" i="39"/>
  <c r="G48" i="39"/>
  <c r="E48" i="39"/>
  <c r="G40" i="39"/>
  <c r="E40" i="39"/>
  <c r="B28" i="1"/>
  <c r="B27" i="1"/>
  <c r="F19" i="6"/>
  <c r="C40" i="39"/>
  <c r="D73" i="39"/>
  <c r="E73" i="39"/>
  <c r="F73" i="39"/>
  <c r="G73" i="39"/>
  <c r="H73" i="39"/>
  <c r="I73" i="39"/>
  <c r="J73" i="39"/>
  <c r="K73" i="39"/>
  <c r="L73" i="39"/>
  <c r="M73" i="39"/>
  <c r="N73" i="39"/>
  <c r="G9" i="39"/>
  <c r="E9" i="39"/>
  <c r="D3" i="4"/>
  <c r="G7" i="39"/>
  <c r="F3" i="68"/>
  <c r="I13" i="39"/>
  <c r="F6" i="68"/>
  <c r="F7" i="68"/>
  <c r="F8" i="68"/>
  <c r="F9" i="68"/>
  <c r="F10" i="68"/>
  <c r="F11" i="68"/>
  <c r="F12" i="68"/>
  <c r="F13" i="68"/>
  <c r="F14" i="68"/>
  <c r="F15" i="68"/>
  <c r="F16" i="68"/>
  <c r="F17" i="68"/>
  <c r="F18" i="68"/>
  <c r="F19" i="68"/>
  <c r="F20" i="68"/>
  <c r="F21" i="68"/>
  <c r="F22" i="68"/>
  <c r="F23" i="68"/>
  <c r="F24" i="68"/>
  <c r="F25" i="68"/>
  <c r="F26" i="68"/>
  <c r="F27" i="68"/>
  <c r="F28" i="68"/>
  <c r="F29" i="68"/>
  <c r="F30" i="68"/>
  <c r="F31" i="68"/>
  <c r="F32" i="68"/>
  <c r="F33" i="68"/>
  <c r="F34" i="68"/>
  <c r="F2" i="68"/>
  <c r="AH5" i="59"/>
  <c r="AG5" i="59"/>
  <c r="AE5" i="59"/>
  <c r="AF5" i="59"/>
  <c r="AD5" i="59"/>
  <c r="Q6" i="59"/>
  <c r="Q5" i="59"/>
  <c r="AB5" i="59"/>
  <c r="Q7" i="59"/>
  <c r="Q8" i="59"/>
  <c r="Q9" i="59"/>
  <c r="Q10" i="59"/>
  <c r="Q11" i="59"/>
  <c r="Q12" i="59"/>
  <c r="Q13" i="59"/>
  <c r="Q14" i="59"/>
  <c r="Q15" i="59"/>
  <c r="Q16" i="59"/>
  <c r="Q17" i="59"/>
  <c r="Q18" i="59"/>
  <c r="Q19" i="59"/>
  <c r="Q20" i="59"/>
  <c r="Q21" i="59"/>
  <c r="Q22" i="59"/>
  <c r="P6" i="59"/>
  <c r="P5" i="59"/>
  <c r="P7" i="59"/>
  <c r="E7" i="59"/>
  <c r="E6" i="59"/>
  <c r="E5" i="59"/>
  <c r="P8" i="59"/>
  <c r="P9" i="59"/>
  <c r="P10" i="59"/>
  <c r="P11" i="59"/>
  <c r="E11" i="59"/>
  <c r="E10" i="59"/>
  <c r="E9" i="59"/>
  <c r="P12" i="59"/>
  <c r="P13" i="59"/>
  <c r="P14" i="59"/>
  <c r="P15" i="59"/>
  <c r="P16" i="59"/>
  <c r="P17" i="59"/>
  <c r="P18" i="59"/>
  <c r="P19" i="59"/>
  <c r="P20" i="59"/>
  <c r="P21" i="59"/>
  <c r="P22" i="59"/>
  <c r="AA5" i="59"/>
  <c r="O6" i="59"/>
  <c r="O5" i="59"/>
  <c r="Y5" i="59"/>
  <c r="Z5" i="59"/>
  <c r="O7" i="59"/>
  <c r="O8" i="59"/>
  <c r="O9" i="59"/>
  <c r="O10" i="59"/>
  <c r="O11" i="59"/>
  <c r="O12" i="59"/>
  <c r="C13" i="59"/>
  <c r="O13" i="59"/>
  <c r="O14" i="59"/>
  <c r="O15" i="59"/>
  <c r="O16" i="59"/>
  <c r="C17" i="59"/>
  <c r="O17" i="59"/>
  <c r="O18" i="59"/>
  <c r="O19" i="59"/>
  <c r="O20" i="59"/>
  <c r="C21" i="59"/>
  <c r="O21" i="59"/>
  <c r="O22" i="59"/>
  <c r="N6" i="59"/>
  <c r="N5" i="59"/>
  <c r="X5" i="59"/>
  <c r="N7" i="59"/>
  <c r="N8" i="59"/>
  <c r="N9" i="59"/>
  <c r="N10" i="59"/>
  <c r="N11" i="59"/>
  <c r="N12" i="59"/>
  <c r="N13" i="59"/>
  <c r="N14" i="59"/>
  <c r="N15" i="59"/>
  <c r="N16" i="59"/>
  <c r="N17" i="59"/>
  <c r="N18" i="59"/>
  <c r="N19" i="59"/>
  <c r="N20" i="59"/>
  <c r="N21" i="59"/>
  <c r="N22" i="59"/>
  <c r="F7" i="59"/>
  <c r="F6" i="59"/>
  <c r="F5" i="59"/>
  <c r="C7" i="59"/>
  <c r="C6" i="59"/>
  <c r="B7" i="59"/>
  <c r="B6" i="59"/>
  <c r="B5" i="59"/>
  <c r="B2" i="1"/>
  <c r="G19" i="46"/>
  <c r="D7" i="59"/>
  <c r="D8" i="59"/>
  <c r="B11" i="59"/>
  <c r="B10" i="59"/>
  <c r="B9" i="59"/>
  <c r="C11" i="59"/>
  <c r="C10" i="59"/>
  <c r="C9" i="59"/>
  <c r="D9" i="59"/>
  <c r="F11" i="59"/>
  <c r="F10" i="59"/>
  <c r="F9" i="59"/>
  <c r="D11" i="59"/>
  <c r="D12" i="59"/>
  <c r="B13" i="59"/>
  <c r="B14" i="59"/>
  <c r="B15" i="59"/>
  <c r="E13" i="59"/>
  <c r="F13" i="59"/>
  <c r="F14" i="59"/>
  <c r="F15" i="59"/>
  <c r="E14" i="59"/>
  <c r="E15" i="59"/>
  <c r="D16" i="59"/>
  <c r="B17" i="59"/>
  <c r="B18" i="59"/>
  <c r="B19" i="59"/>
  <c r="E17" i="59"/>
  <c r="F17" i="59"/>
  <c r="F18" i="59"/>
  <c r="F19" i="59"/>
  <c r="E18" i="59"/>
  <c r="E19" i="59"/>
  <c r="D20" i="59"/>
  <c r="B21" i="59"/>
  <c r="B22" i="59"/>
  <c r="B23" i="59"/>
  <c r="E21" i="59"/>
  <c r="F21" i="59"/>
  <c r="F22" i="59"/>
  <c r="F23" i="59"/>
  <c r="E22" i="59"/>
  <c r="E23" i="59"/>
  <c r="M19" i="46"/>
  <c r="G2" i="46"/>
  <c r="C6" i="46"/>
  <c r="G17" i="46"/>
  <c r="I17" i="46"/>
  <c r="C17" i="46"/>
  <c r="G20" i="46"/>
  <c r="J20" i="46"/>
  <c r="I20" i="46"/>
  <c r="C24" i="46"/>
  <c r="F38" i="46"/>
  <c r="D5" i="46"/>
  <c r="F35" i="46"/>
  <c r="A6" i="1"/>
  <c r="J50" i="15"/>
  <c r="J51" i="15"/>
  <c r="M47" i="15"/>
  <c r="M48" i="44"/>
  <c r="J51" i="44"/>
  <c r="J52" i="44"/>
  <c r="C1" i="65"/>
  <c r="H1" i="65"/>
  <c r="C18" i="46"/>
  <c r="AD5" i="3"/>
  <c r="AH5" i="3"/>
  <c r="AL5" i="3"/>
  <c r="AP5" i="3"/>
  <c r="I5" i="3"/>
  <c r="F33" i="46"/>
  <c r="C10" i="46"/>
  <c r="C11" i="46"/>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c r="C99" i="46"/>
  <c r="C100" i="46"/>
  <c r="C108" i="46"/>
  <c r="D99" i="46"/>
  <c r="D100" i="46"/>
  <c r="D108" i="46"/>
  <c r="H113" i="46"/>
  <c r="AH6" i="59"/>
  <c r="AG6" i="59"/>
  <c r="AE6" i="59"/>
  <c r="AF6" i="59"/>
  <c r="AD6" i="59"/>
  <c r="I3" i="59"/>
  <c r="L3" i="59"/>
  <c r="K3" i="59"/>
  <c r="J3" i="59"/>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c r="AZ37" i="3"/>
  <c r="BO37" i="3"/>
  <c r="BP37" i="3"/>
  <c r="BQ37" i="3"/>
  <c r="BR37" i="3"/>
  <c r="BS37" i="3"/>
  <c r="BT37" i="3"/>
  <c r="BB38" i="3"/>
  <c r="BC38" i="3"/>
  <c r="BA38" i="3"/>
  <c r="AZ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c r="AZ39" i="3"/>
  <c r="BO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c r="AZ41" i="3"/>
  <c r="BO41" i="3"/>
  <c r="BP41" i="3"/>
  <c r="BQ41" i="3"/>
  <c r="BR41" i="3"/>
  <c r="BS41" i="3"/>
  <c r="BT41" i="3"/>
  <c r="BB42" i="3"/>
  <c r="BC42" i="3"/>
  <c r="BA42" i="3"/>
  <c r="AZ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c r="AZ43" i="3"/>
  <c r="BO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c r="AZ45" i="3"/>
  <c r="BO45" i="3"/>
  <c r="BP45" i="3"/>
  <c r="BQ45" i="3"/>
  <c r="BR45" i="3"/>
  <c r="BS45" i="3"/>
  <c r="BT45" i="3"/>
  <c r="BB46" i="3"/>
  <c r="BC46" i="3"/>
  <c r="BA46" i="3"/>
  <c r="AZ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c r="AZ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L134" i="3"/>
  <c r="BO134" i="3"/>
  <c r="BP134" i="3"/>
  <c r="BQ134" i="3"/>
  <c r="BR134" i="3"/>
  <c r="BS134" i="3"/>
  <c r="BT134" i="3"/>
  <c r="BB135" i="3"/>
  <c r="BC135" i="3"/>
  <c r="BA135" i="3"/>
  <c r="AZ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c r="AZ136" i="3"/>
  <c r="BO136" i="3"/>
  <c r="BP136" i="3"/>
  <c r="BQ136" i="3"/>
  <c r="BR136" i="3"/>
  <c r="BS136" i="3"/>
  <c r="BT136" i="3"/>
  <c r="BB137" i="3"/>
  <c r="BC137" i="3"/>
  <c r="BA137" i="3"/>
  <c r="AZ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c r="AZ138" i="3"/>
  <c r="BO138" i="3"/>
  <c r="BP138" i="3"/>
  <c r="BQ138" i="3"/>
  <c r="BR138" i="3"/>
  <c r="BS138" i="3"/>
  <c r="BT138" i="3"/>
  <c r="BB139" i="3"/>
  <c r="BC139" i="3"/>
  <c r="BA139" i="3"/>
  <c r="AZ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c r="AZ140" i="3"/>
  <c r="BO140" i="3"/>
  <c r="BP140" i="3"/>
  <c r="BQ140" i="3"/>
  <c r="BR140" i="3"/>
  <c r="BS140" i="3"/>
  <c r="BT140" i="3"/>
  <c r="BB141" i="3"/>
  <c r="BC141" i="3"/>
  <c r="BA141" i="3"/>
  <c r="AZ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c r="AZ142" i="3"/>
  <c r="BO142" i="3"/>
  <c r="BP142" i="3"/>
  <c r="BQ142" i="3"/>
  <c r="BR142" i="3"/>
  <c r="BS142" i="3"/>
  <c r="BT142" i="3"/>
  <c r="BB143" i="3"/>
  <c r="BC143" i="3"/>
  <c r="BA143" i="3"/>
  <c r="AZ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A147" i="3"/>
  <c r="AZ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c r="AZ148" i="3"/>
  <c r="BO148" i="3"/>
  <c r="BP148" i="3"/>
  <c r="BQ148" i="3"/>
  <c r="BR148" i="3"/>
  <c r="BS148" i="3"/>
  <c r="BT148" i="3"/>
  <c r="BB149" i="3"/>
  <c r="BC149" i="3"/>
  <c r="BA149" i="3"/>
  <c r="AZ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c r="AZ150" i="3"/>
  <c r="BO150" i="3"/>
  <c r="BP150" i="3"/>
  <c r="BQ150" i="3"/>
  <c r="BR150" i="3"/>
  <c r="BS150" i="3"/>
  <c r="BT150" i="3"/>
  <c r="BB151" i="3"/>
  <c r="BC151" i="3"/>
  <c r="BA151" i="3"/>
  <c r="AZ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c r="AZ152" i="3"/>
  <c r="BO152" i="3"/>
  <c r="BP152" i="3"/>
  <c r="BQ152" i="3"/>
  <c r="BR152" i="3"/>
  <c r="BS152" i="3"/>
  <c r="BT152" i="3"/>
  <c r="BB153" i="3"/>
  <c r="BC153" i="3"/>
  <c r="BA153" i="3"/>
  <c r="AZ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c r="AZ154" i="3"/>
  <c r="BO154" i="3"/>
  <c r="BP154" i="3"/>
  <c r="BQ154" i="3"/>
  <c r="BR154" i="3"/>
  <c r="BS154" i="3"/>
  <c r="BT154" i="3"/>
  <c r="BB155" i="3"/>
  <c r="BC155" i="3"/>
  <c r="BA155" i="3"/>
  <c r="AZ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c r="AZ156" i="3"/>
  <c r="BO156" i="3"/>
  <c r="BP156" i="3"/>
  <c r="BQ156" i="3"/>
  <c r="BR156" i="3"/>
  <c r="BS156" i="3"/>
  <c r="BT156" i="3"/>
  <c r="BB157" i="3"/>
  <c r="BC157" i="3"/>
  <c r="BA157" i="3"/>
  <c r="AZ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c r="AZ158" i="3"/>
  <c r="BO158" i="3"/>
  <c r="BP158" i="3"/>
  <c r="BQ158" i="3"/>
  <c r="BR158" i="3"/>
  <c r="BS158" i="3"/>
  <c r="BT158" i="3"/>
  <c r="BB159" i="3"/>
  <c r="BC159" i="3"/>
  <c r="BA159" i="3"/>
  <c r="AZ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c r="AZ160" i="3"/>
  <c r="BO160" i="3"/>
  <c r="BP160" i="3"/>
  <c r="BQ160" i="3"/>
  <c r="BR160" i="3"/>
  <c r="BS160" i="3"/>
  <c r="BT160" i="3"/>
  <c r="BB161" i="3"/>
  <c r="BC161" i="3"/>
  <c r="BA161" i="3"/>
  <c r="AZ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c r="AZ162" i="3"/>
  <c r="BO162" i="3"/>
  <c r="BP162" i="3"/>
  <c r="BQ162" i="3"/>
  <c r="BR162" i="3"/>
  <c r="BS162" i="3"/>
  <c r="BT162" i="3"/>
  <c r="BB163" i="3"/>
  <c r="BC163" i="3"/>
  <c r="BA163" i="3"/>
  <c r="AZ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c r="AZ164" i="3"/>
  <c r="BO164" i="3"/>
  <c r="BP164" i="3"/>
  <c r="BQ164" i="3"/>
  <c r="BR164" i="3"/>
  <c r="BS164" i="3"/>
  <c r="BT164" i="3"/>
  <c r="BB165" i="3"/>
  <c r="BC165" i="3"/>
  <c r="BA165" i="3"/>
  <c r="AZ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c r="AZ166" i="3"/>
  <c r="BO166" i="3"/>
  <c r="BP166" i="3"/>
  <c r="BQ166" i="3"/>
  <c r="BR166" i="3"/>
  <c r="BS166" i="3"/>
  <c r="BT166" i="3"/>
  <c r="BB167" i="3"/>
  <c r="BC167" i="3"/>
  <c r="BA167" i="3"/>
  <c r="AZ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c r="AZ168" i="3"/>
  <c r="BO168" i="3"/>
  <c r="BP168" i="3"/>
  <c r="BQ168" i="3"/>
  <c r="BR168" i="3"/>
  <c r="BS168" i="3"/>
  <c r="BT168" i="3"/>
  <c r="BB169" i="3"/>
  <c r="BC169" i="3"/>
  <c r="BA169" i="3"/>
  <c r="AZ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c r="AZ170" i="3"/>
  <c r="BO170" i="3"/>
  <c r="BP170" i="3"/>
  <c r="BQ170" i="3"/>
  <c r="BR170" i="3"/>
  <c r="BS170" i="3"/>
  <c r="BT170" i="3"/>
  <c r="BB171" i="3"/>
  <c r="BC171" i="3"/>
  <c r="BA171" i="3"/>
  <c r="AZ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c r="AZ172" i="3"/>
  <c r="BO172" i="3"/>
  <c r="BP172" i="3"/>
  <c r="BQ172" i="3"/>
  <c r="BR172" i="3"/>
  <c r="BS172" i="3"/>
  <c r="BT172" i="3"/>
  <c r="BB173" i="3"/>
  <c r="BC173" i="3"/>
  <c r="BA173" i="3"/>
  <c r="AZ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c r="AZ174" i="3"/>
  <c r="BO174" i="3"/>
  <c r="BP174" i="3"/>
  <c r="BQ174" i="3"/>
  <c r="BR174" i="3"/>
  <c r="BS174" i="3"/>
  <c r="BT174" i="3"/>
  <c r="BB175" i="3"/>
  <c r="BC175" i="3"/>
  <c r="BA175" i="3"/>
  <c r="AZ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c r="AZ176" i="3"/>
  <c r="BO176" i="3"/>
  <c r="BP176" i="3"/>
  <c r="BQ176" i="3"/>
  <c r="BR176" i="3"/>
  <c r="BS176" i="3"/>
  <c r="BT176" i="3"/>
  <c r="BB177" i="3"/>
  <c r="BC177" i="3"/>
  <c r="BA177" i="3"/>
  <c r="AZ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c r="AZ178" i="3"/>
  <c r="BO178" i="3"/>
  <c r="BP178" i="3"/>
  <c r="BQ178" i="3"/>
  <c r="BR178" i="3"/>
  <c r="BS178" i="3"/>
  <c r="BT178" i="3"/>
  <c r="BB179" i="3"/>
  <c r="BC179" i="3"/>
  <c r="BA179" i="3"/>
  <c r="AZ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c r="AZ180" i="3"/>
  <c r="BO180" i="3"/>
  <c r="BP180" i="3"/>
  <c r="BQ180" i="3"/>
  <c r="BR180" i="3"/>
  <c r="BS180" i="3"/>
  <c r="BT180" i="3"/>
  <c r="BB181" i="3"/>
  <c r="BC181" i="3"/>
  <c r="BA181" i="3"/>
  <c r="AZ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c r="AZ182" i="3"/>
  <c r="BO182" i="3"/>
  <c r="BP182" i="3"/>
  <c r="BQ182" i="3"/>
  <c r="BR182" i="3"/>
  <c r="BS182" i="3"/>
  <c r="BT182" i="3"/>
  <c r="BB183" i="3"/>
  <c r="BC183" i="3"/>
  <c r="BA183" i="3"/>
  <c r="AZ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c r="AZ184" i="3"/>
  <c r="BO184" i="3"/>
  <c r="BP184" i="3"/>
  <c r="BQ184" i="3"/>
  <c r="BR184" i="3"/>
  <c r="BS184" i="3"/>
  <c r="BT184" i="3"/>
  <c r="BB185" i="3"/>
  <c r="BC185" i="3"/>
  <c r="BA185" i="3"/>
  <c r="AZ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c r="AZ186" i="3"/>
  <c r="BO186" i="3"/>
  <c r="BP186" i="3"/>
  <c r="BQ186" i="3"/>
  <c r="BR186" i="3"/>
  <c r="BS186" i="3"/>
  <c r="BT186" i="3"/>
  <c r="BB187" i="3"/>
  <c r="BC187" i="3"/>
  <c r="BA187" i="3"/>
  <c r="AZ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c r="AZ188" i="3"/>
  <c r="BO188" i="3"/>
  <c r="BP188" i="3"/>
  <c r="BQ188" i="3"/>
  <c r="BR188" i="3"/>
  <c r="BS188" i="3"/>
  <c r="BT188" i="3"/>
  <c r="BB189" i="3"/>
  <c r="BC189" i="3"/>
  <c r="BA189" i="3"/>
  <c r="AZ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c r="AZ190" i="3"/>
  <c r="BO190" i="3"/>
  <c r="BP190" i="3"/>
  <c r="BQ190" i="3"/>
  <c r="BR190" i="3"/>
  <c r="BS190" i="3"/>
  <c r="BT190" i="3"/>
  <c r="BB191" i="3"/>
  <c r="BC191" i="3"/>
  <c r="BA191" i="3"/>
  <c r="AZ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c r="AZ192" i="3"/>
  <c r="BO192" i="3"/>
  <c r="BP192" i="3"/>
  <c r="BQ192" i="3"/>
  <c r="BR192" i="3"/>
  <c r="BS192" i="3"/>
  <c r="BT192" i="3"/>
  <c r="BB193" i="3"/>
  <c r="BC193" i="3"/>
  <c r="BA193" i="3"/>
  <c r="AZ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c r="AZ194" i="3"/>
  <c r="BO194" i="3"/>
  <c r="BP194" i="3"/>
  <c r="BQ194" i="3"/>
  <c r="BR194" i="3"/>
  <c r="BS194" i="3"/>
  <c r="BT194" i="3"/>
  <c r="BB195" i="3"/>
  <c r="BC195" i="3"/>
  <c r="BA195" i="3"/>
  <c r="AZ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c r="AZ196" i="3"/>
  <c r="BO196" i="3"/>
  <c r="BP196" i="3"/>
  <c r="BQ196" i="3"/>
  <c r="BR196" i="3"/>
  <c r="BS196" i="3"/>
  <c r="BT196" i="3"/>
  <c r="BB197" i="3"/>
  <c r="BC197" i="3"/>
  <c r="BA197" i="3"/>
  <c r="AZ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c r="AZ198" i="3"/>
  <c r="BO198" i="3"/>
  <c r="BP198" i="3"/>
  <c r="BQ198" i="3"/>
  <c r="BR198" i="3"/>
  <c r="BS198" i="3"/>
  <c r="BT198" i="3"/>
  <c r="BB199" i="3"/>
  <c r="BC199" i="3"/>
  <c r="BA199" i="3"/>
  <c r="AZ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c r="AZ200" i="3"/>
  <c r="BO200" i="3"/>
  <c r="BP200" i="3"/>
  <c r="BQ200" i="3"/>
  <c r="BR200" i="3"/>
  <c r="BS200" i="3"/>
  <c r="BT200" i="3"/>
  <c r="BB201" i="3"/>
  <c r="BC201" i="3"/>
  <c r="BA201" i="3"/>
  <c r="AZ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c r="AZ202" i="3"/>
  <c r="BO202" i="3"/>
  <c r="BP202" i="3"/>
  <c r="BQ202" i="3"/>
  <c r="BR202" i="3"/>
  <c r="BS202" i="3"/>
  <c r="BT202" i="3"/>
  <c r="BB203" i="3"/>
  <c r="BC203" i="3"/>
  <c r="BA203" i="3"/>
  <c r="AZ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c r="AZ204" i="3"/>
  <c r="BO204" i="3"/>
  <c r="BP204" i="3"/>
  <c r="BQ204" i="3"/>
  <c r="BR204" i="3"/>
  <c r="BS204" i="3"/>
  <c r="BT204" i="3"/>
  <c r="BB205" i="3"/>
  <c r="BC205" i="3"/>
  <c r="BD205" i="3"/>
  <c r="BE205" i="3"/>
  <c r="BA205" i="3"/>
  <c r="AZ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c r="AZ206" i="3"/>
  <c r="BO206" i="3"/>
  <c r="BP206" i="3"/>
  <c r="BQ206" i="3"/>
  <c r="BR206" i="3"/>
  <c r="BS206" i="3"/>
  <c r="BT206" i="3"/>
  <c r="BB207" i="3"/>
  <c r="BC207" i="3"/>
  <c r="BD207" i="3"/>
  <c r="BE207" i="3"/>
  <c r="BF207" i="3"/>
  <c r="BG207" i="3"/>
  <c r="BA207" i="3"/>
  <c r="AZ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c r="AZ208" i="3"/>
  <c r="BO208" i="3"/>
  <c r="BP208" i="3"/>
  <c r="BQ208" i="3"/>
  <c r="BR208" i="3"/>
  <c r="BS208" i="3"/>
  <c r="BT208" i="3"/>
  <c r="BB209" i="3"/>
  <c r="BC209" i="3"/>
  <c r="BD209" i="3"/>
  <c r="BE209" i="3"/>
  <c r="BA209" i="3"/>
  <c r="AZ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c r="AZ210" i="3"/>
  <c r="BO210" i="3"/>
  <c r="BP210" i="3"/>
  <c r="BQ210" i="3"/>
  <c r="BR210" i="3"/>
  <c r="BS210" i="3"/>
  <c r="BT210" i="3"/>
  <c r="BB211" i="3"/>
  <c r="BC211" i="3"/>
  <c r="BA211" i="3"/>
  <c r="AZ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c r="AZ212" i="3"/>
  <c r="BO212" i="3"/>
  <c r="BP212" i="3"/>
  <c r="BQ212" i="3"/>
  <c r="BR212" i="3"/>
  <c r="BS212" i="3"/>
  <c r="BT212" i="3"/>
  <c r="BB213" i="3"/>
  <c r="BC213" i="3"/>
  <c r="BD213" i="3"/>
  <c r="BE213" i="3"/>
  <c r="BF213" i="3"/>
  <c r="BG213" i="3"/>
  <c r="BA213" i="3"/>
  <c r="AZ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c r="AZ214" i="3"/>
  <c r="BO214" i="3"/>
  <c r="BP214" i="3"/>
  <c r="BQ214" i="3"/>
  <c r="BR214" i="3"/>
  <c r="BS214" i="3"/>
  <c r="BT214" i="3"/>
  <c r="BB215" i="3"/>
  <c r="BC215" i="3"/>
  <c r="BA215" i="3"/>
  <c r="AZ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c r="AZ216" i="3"/>
  <c r="BO216" i="3"/>
  <c r="BP216" i="3"/>
  <c r="BQ216" i="3"/>
  <c r="BR216" i="3"/>
  <c r="BS216" i="3"/>
  <c r="BT216" i="3"/>
  <c r="BB217" i="3"/>
  <c r="BC217" i="3"/>
  <c r="BD217" i="3"/>
  <c r="BE217" i="3"/>
  <c r="BF217" i="3"/>
  <c r="BG217" i="3"/>
  <c r="BA217" i="3"/>
  <c r="AZ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c r="AZ218" i="3"/>
  <c r="BO218" i="3"/>
  <c r="BP218" i="3"/>
  <c r="BQ218" i="3"/>
  <c r="BR218" i="3"/>
  <c r="BS218" i="3"/>
  <c r="BT218" i="3"/>
  <c r="BB219" i="3"/>
  <c r="BC219" i="3"/>
  <c r="BD219" i="3"/>
  <c r="BE219" i="3"/>
  <c r="BA219" i="3"/>
  <c r="AZ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c r="AZ220" i="3"/>
  <c r="BO220" i="3"/>
  <c r="BP220" i="3"/>
  <c r="BQ220" i="3"/>
  <c r="BR220" i="3"/>
  <c r="BS220" i="3"/>
  <c r="BT220" i="3"/>
  <c r="BB221" i="3"/>
  <c r="BC221" i="3"/>
  <c r="BD221" i="3"/>
  <c r="BE221" i="3"/>
  <c r="BA221" i="3"/>
  <c r="AZ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c r="AZ222" i="3"/>
  <c r="BO222" i="3"/>
  <c r="BP222" i="3"/>
  <c r="BQ222" i="3"/>
  <c r="BR222" i="3"/>
  <c r="BS222" i="3"/>
  <c r="BT222" i="3"/>
  <c r="BB223" i="3"/>
  <c r="BC223" i="3"/>
  <c r="BD223" i="3"/>
  <c r="BE223" i="3"/>
  <c r="BA223" i="3"/>
  <c r="AZ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L224" i="3"/>
  <c r="AZ224" i="3"/>
  <c r="BS224" i="3"/>
  <c r="BT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L227" i="3"/>
  <c r="AZ227" i="3"/>
  <c r="BS227" i="3"/>
  <c r="BT227" i="3"/>
  <c r="BB228" i="3"/>
  <c r="BC228" i="3"/>
  <c r="BD228" i="3"/>
  <c r="BE228" i="3"/>
  <c r="BF228" i="3"/>
  <c r="BG228" i="3"/>
  <c r="BH228" i="3"/>
  <c r="BI228" i="3"/>
  <c r="BJ228" i="3"/>
  <c r="BK228" i="3"/>
  <c r="BA228" i="3"/>
  <c r="BM228" i="3"/>
  <c r="BN228" i="3"/>
  <c r="BO228" i="3"/>
  <c r="BP228" i="3"/>
  <c r="BQ228" i="3"/>
  <c r="BR228" i="3"/>
  <c r="BL228" i="3"/>
  <c r="AZ228" i="3"/>
  <c r="BS228" i="3"/>
  <c r="BT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L232" i="3"/>
  <c r="AZ232" i="3"/>
  <c r="BS232" i="3"/>
  <c r="BT232" i="3"/>
  <c r="BB233" i="3"/>
  <c r="BC233" i="3"/>
  <c r="BD233" i="3"/>
  <c r="BE233" i="3"/>
  <c r="BF233" i="3"/>
  <c r="BG233" i="3"/>
  <c r="BH233" i="3"/>
  <c r="BI233" i="3"/>
  <c r="BJ233" i="3"/>
  <c r="BK233" i="3"/>
  <c r="BA233" i="3"/>
  <c r="AZ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L242" i="3"/>
  <c r="AZ242" i="3"/>
  <c r="BS242" i="3"/>
  <c r="BT242" i="3"/>
  <c r="BB243" i="3"/>
  <c r="BC243" i="3"/>
  <c r="BD243" i="3"/>
  <c r="BE243" i="3"/>
  <c r="BF243" i="3"/>
  <c r="BG243" i="3"/>
  <c r="BH243" i="3"/>
  <c r="BI243" i="3"/>
  <c r="BJ243" i="3"/>
  <c r="BK243" i="3"/>
  <c r="BA243" i="3"/>
  <c r="AZ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L249" i="3"/>
  <c r="AZ249" i="3"/>
  <c r="BQ249" i="3"/>
  <c r="BR249" i="3"/>
  <c r="BS249" i="3"/>
  <c r="BT249" i="3"/>
  <c r="BB250" i="3"/>
  <c r="BC250" i="3"/>
  <c r="BD250" i="3"/>
  <c r="BE250" i="3"/>
  <c r="BF250" i="3"/>
  <c r="BG250" i="3"/>
  <c r="BH250" i="3"/>
  <c r="BI250" i="3"/>
  <c r="BJ250" i="3"/>
  <c r="BK250" i="3"/>
  <c r="BA250" i="3"/>
  <c r="AZ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L251" i="3"/>
  <c r="AZ251" i="3"/>
  <c r="BS251" i="3"/>
  <c r="BT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L253" i="3"/>
  <c r="AZ253" i="3"/>
  <c r="BS253" i="3"/>
  <c r="BT253" i="3"/>
  <c r="BB254" i="3"/>
  <c r="BC254" i="3"/>
  <c r="BD254" i="3"/>
  <c r="BE254" i="3"/>
  <c r="BF254" i="3"/>
  <c r="BG254" i="3"/>
  <c r="BH254" i="3"/>
  <c r="BI254" i="3"/>
  <c r="BJ254" i="3"/>
  <c r="BK254" i="3"/>
  <c r="BA254" i="3"/>
  <c r="AZ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AZ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AZ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L260" i="3"/>
  <c r="AZ260" i="3"/>
  <c r="BQ260" i="3"/>
  <c r="BR260" i="3"/>
  <c r="BS260" i="3"/>
  <c r="BT260" i="3"/>
  <c r="BB261" i="3"/>
  <c r="BC261" i="3"/>
  <c r="BD261" i="3"/>
  <c r="BE261" i="3"/>
  <c r="BF261" i="3"/>
  <c r="BG261" i="3"/>
  <c r="BH261" i="3"/>
  <c r="BI261" i="3"/>
  <c r="BA261" i="3"/>
  <c r="AZ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L262" i="3"/>
  <c r="AZ262" i="3"/>
  <c r="BS262" i="3"/>
  <c r="BT262" i="3"/>
  <c r="BB263" i="3"/>
  <c r="BC263" i="3"/>
  <c r="BD263" i="3"/>
  <c r="BE263" i="3"/>
  <c r="BF263" i="3"/>
  <c r="BG263" i="3"/>
  <c r="BH263" i="3"/>
  <c r="BI263" i="3"/>
  <c r="BJ263" i="3"/>
  <c r="BK263" i="3"/>
  <c r="BA263" i="3"/>
  <c r="AZ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L271" i="3"/>
  <c r="AZ271" i="3"/>
  <c r="BQ271" i="3"/>
  <c r="BR271" i="3"/>
  <c r="BS271" i="3"/>
  <c r="BT271" i="3"/>
  <c r="BB272" i="3"/>
  <c r="BC272" i="3"/>
  <c r="BD272" i="3"/>
  <c r="BE272" i="3"/>
  <c r="BF272" i="3"/>
  <c r="BG272" i="3"/>
  <c r="BH272" i="3"/>
  <c r="BI272" i="3"/>
  <c r="BJ272" i="3"/>
  <c r="BK272" i="3"/>
  <c r="BA272" i="3"/>
  <c r="AZ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L273" i="3"/>
  <c r="AZ273" i="3"/>
  <c r="BQ273" i="3"/>
  <c r="BR273" i="3"/>
  <c r="BS273" i="3"/>
  <c r="BT273" i="3"/>
  <c r="BB274" i="3"/>
  <c r="BC274" i="3"/>
  <c r="BD274" i="3"/>
  <c r="BE274" i="3"/>
  <c r="BF274" i="3"/>
  <c r="BG274" i="3"/>
  <c r="BH274" i="3"/>
  <c r="BI274" i="3"/>
  <c r="BJ274" i="3"/>
  <c r="BK274" i="3"/>
  <c r="BA274" i="3"/>
  <c r="AZ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L275" i="3"/>
  <c r="AZ275" i="3"/>
  <c r="BS275" i="3"/>
  <c r="BT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L278" i="3"/>
  <c r="AZ278" i="3"/>
  <c r="BO278" i="3"/>
  <c r="BP278" i="3"/>
  <c r="BQ278" i="3"/>
  <c r="BR278" i="3"/>
  <c r="BS278" i="3"/>
  <c r="BT278" i="3"/>
  <c r="BB279" i="3"/>
  <c r="BC279" i="3"/>
  <c r="BA279" i="3"/>
  <c r="AZ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c r="AZ280" i="3"/>
  <c r="BO280" i="3"/>
  <c r="BP280" i="3"/>
  <c r="BQ280" i="3"/>
  <c r="BR280" i="3"/>
  <c r="BS280" i="3"/>
  <c r="BT280" i="3"/>
  <c r="BB281" i="3"/>
  <c r="BC281" i="3"/>
  <c r="BA281" i="3"/>
  <c r="AZ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c r="AZ282" i="3"/>
  <c r="BO282" i="3"/>
  <c r="BP282" i="3"/>
  <c r="BQ282" i="3"/>
  <c r="BR282" i="3"/>
  <c r="BS282" i="3"/>
  <c r="BT282" i="3"/>
  <c r="BB283" i="3"/>
  <c r="BC283" i="3"/>
  <c r="BA283" i="3"/>
  <c r="AZ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c r="AZ284" i="3"/>
  <c r="BO284" i="3"/>
  <c r="BP284" i="3"/>
  <c r="BQ284" i="3"/>
  <c r="BR284" i="3"/>
  <c r="BS284" i="3"/>
  <c r="BT284" i="3"/>
  <c r="BB285" i="3"/>
  <c r="BC285" i="3"/>
  <c r="BA285" i="3"/>
  <c r="AZ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c r="AZ286" i="3"/>
  <c r="BO286" i="3"/>
  <c r="BP286" i="3"/>
  <c r="BQ286" i="3"/>
  <c r="BR286" i="3"/>
  <c r="BS286" i="3"/>
  <c r="BT286" i="3"/>
  <c r="BB287" i="3"/>
  <c r="BC287" i="3"/>
  <c r="BA287" i="3"/>
  <c r="AZ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c r="AZ288" i="3"/>
  <c r="BO288" i="3"/>
  <c r="BP288" i="3"/>
  <c r="BQ288" i="3"/>
  <c r="BR288" i="3"/>
  <c r="BS288" i="3"/>
  <c r="BT288" i="3"/>
  <c r="BB289" i="3"/>
  <c r="BC289" i="3"/>
  <c r="BA289" i="3"/>
  <c r="AZ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c r="AZ290" i="3"/>
  <c r="BO290" i="3"/>
  <c r="BP290" i="3"/>
  <c r="BQ290" i="3"/>
  <c r="BR290" i="3"/>
  <c r="BS290" i="3"/>
  <c r="BT290" i="3"/>
  <c r="BB291" i="3"/>
  <c r="BC291" i="3"/>
  <c r="BA291" i="3"/>
  <c r="AZ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c r="AZ292" i="3"/>
  <c r="BO292" i="3"/>
  <c r="BP292" i="3"/>
  <c r="BQ292" i="3"/>
  <c r="BR292" i="3"/>
  <c r="BS292" i="3"/>
  <c r="BT292" i="3"/>
  <c r="BB293" i="3"/>
  <c r="BC293" i="3"/>
  <c r="BA293" i="3"/>
  <c r="AZ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c r="AZ294" i="3"/>
  <c r="BO294" i="3"/>
  <c r="BP294" i="3"/>
  <c r="BQ294" i="3"/>
  <c r="BR294" i="3"/>
  <c r="BS294" i="3"/>
  <c r="BT294" i="3"/>
  <c r="BB295" i="3"/>
  <c r="BC295" i="3"/>
  <c r="BA295" i="3"/>
  <c r="AZ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c r="AZ296" i="3"/>
  <c r="BO296" i="3"/>
  <c r="BP296" i="3"/>
  <c r="BQ296" i="3"/>
  <c r="BR296" i="3"/>
  <c r="BS296" i="3"/>
  <c r="BT296" i="3"/>
  <c r="BB297" i="3"/>
  <c r="BC297" i="3"/>
  <c r="BA297" i="3"/>
  <c r="AZ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A361" i="3"/>
  <c r="AZ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c r="AZ362" i="3"/>
  <c r="BO362" i="3"/>
  <c r="BP362" i="3"/>
  <c r="BQ362" i="3"/>
  <c r="BR362" i="3"/>
  <c r="BS362" i="3"/>
  <c r="BT362" i="3"/>
  <c r="BB363" i="3"/>
  <c r="BC363" i="3"/>
  <c r="BA363" i="3"/>
  <c r="AZ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c r="AZ364" i="3"/>
  <c r="BO364" i="3"/>
  <c r="BP364" i="3"/>
  <c r="BQ364" i="3"/>
  <c r="BR364" i="3"/>
  <c r="BS364" i="3"/>
  <c r="BT364" i="3"/>
  <c r="BB365" i="3"/>
  <c r="BC365" i="3"/>
  <c r="BA365" i="3"/>
  <c r="AZ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A367" i="3"/>
  <c r="AZ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c r="AZ368" i="3"/>
  <c r="BO368" i="3"/>
  <c r="BP368" i="3"/>
  <c r="BQ368" i="3"/>
  <c r="BR368" i="3"/>
  <c r="BS368" i="3"/>
  <c r="BT368" i="3"/>
  <c r="BB369" i="3"/>
  <c r="BC369" i="3"/>
  <c r="BA369" i="3"/>
  <c r="AZ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c r="AZ370" i="3"/>
  <c r="BO370" i="3"/>
  <c r="BP370" i="3"/>
  <c r="BQ370" i="3"/>
  <c r="BR370" i="3"/>
  <c r="BS370" i="3"/>
  <c r="BT370" i="3"/>
  <c r="BB371" i="3"/>
  <c r="BC371" i="3"/>
  <c r="BA371" i="3"/>
  <c r="AZ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c r="AZ372" i="3"/>
  <c r="BO372" i="3"/>
  <c r="BP372" i="3"/>
  <c r="BQ372" i="3"/>
  <c r="BR372" i="3"/>
  <c r="BS372" i="3"/>
  <c r="BT372" i="3"/>
  <c r="BB373" i="3"/>
  <c r="BC373" i="3"/>
  <c r="BA373" i="3"/>
  <c r="AZ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c r="AZ374" i="3"/>
  <c r="BO374" i="3"/>
  <c r="BP374" i="3"/>
  <c r="BQ374" i="3"/>
  <c r="BR374" i="3"/>
  <c r="BS374" i="3"/>
  <c r="BT374" i="3"/>
  <c r="BB375" i="3"/>
  <c r="BC375" i="3"/>
  <c r="BA375" i="3"/>
  <c r="AZ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c r="AZ376" i="3"/>
  <c r="BO376" i="3"/>
  <c r="BP376" i="3"/>
  <c r="BQ376" i="3"/>
  <c r="BR376" i="3"/>
  <c r="BS376" i="3"/>
  <c r="BT376" i="3"/>
  <c r="BB377" i="3"/>
  <c r="BC377" i="3"/>
  <c r="BA377" i="3"/>
  <c r="AZ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c r="AZ378" i="3"/>
  <c r="BO378" i="3"/>
  <c r="BP378" i="3"/>
  <c r="BQ378" i="3"/>
  <c r="BR378" i="3"/>
  <c r="BS378" i="3"/>
  <c r="BT378" i="3"/>
  <c r="BB379" i="3"/>
  <c r="BC379" i="3"/>
  <c r="BA379" i="3"/>
  <c r="AZ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c r="AZ380" i="3"/>
  <c r="BO380" i="3"/>
  <c r="BP380" i="3"/>
  <c r="BQ380" i="3"/>
  <c r="BR380" i="3"/>
  <c r="BS380" i="3"/>
  <c r="BT380" i="3"/>
  <c r="BB381" i="3"/>
  <c r="BC381" i="3"/>
  <c r="BA381" i="3"/>
  <c r="AZ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c r="AZ382" i="3"/>
  <c r="BO382" i="3"/>
  <c r="BP382" i="3"/>
  <c r="BQ382" i="3"/>
  <c r="BR382" i="3"/>
  <c r="BS382" i="3"/>
  <c r="BT382" i="3"/>
  <c r="BB383" i="3"/>
  <c r="BC383" i="3"/>
  <c r="BA383" i="3"/>
  <c r="AZ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c r="AZ384" i="3"/>
  <c r="BO384" i="3"/>
  <c r="BP384" i="3"/>
  <c r="BQ384" i="3"/>
  <c r="BR384" i="3"/>
  <c r="BS384" i="3"/>
  <c r="BT384" i="3"/>
  <c r="BB385" i="3"/>
  <c r="BC385" i="3"/>
  <c r="BA385" i="3"/>
  <c r="AZ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c r="AZ386" i="3"/>
  <c r="BO386" i="3"/>
  <c r="BP386" i="3"/>
  <c r="BQ386" i="3"/>
  <c r="BR386" i="3"/>
  <c r="BS386" i="3"/>
  <c r="BT386" i="3"/>
  <c r="BB387" i="3"/>
  <c r="BC387" i="3"/>
  <c r="BA387" i="3"/>
  <c r="AZ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c r="AZ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L26" i="4"/>
  <c r="A10" i="55"/>
  <c r="A9" i="55"/>
  <c r="A8" i="55"/>
  <c r="A6" i="54"/>
  <c r="A8" i="54"/>
  <c r="A7" i="54"/>
  <c r="C57" i="10"/>
  <c r="A28" i="51"/>
  <c r="A27" i="51"/>
  <c r="AB7" i="59"/>
  <c r="Y7" i="59"/>
  <c r="Z7" i="59"/>
  <c r="X7" i="59"/>
  <c r="AA7" i="59"/>
  <c r="K75" i="9"/>
  <c r="K77" i="9"/>
  <c r="K79" i="9"/>
  <c r="K81" i="9"/>
  <c r="K6" i="4"/>
  <c r="O76" i="9"/>
  <c r="L76" i="9"/>
  <c r="K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c r="A44" i="9"/>
  <c r="C56" i="10"/>
  <c r="C55" i="10"/>
  <c r="C54" i="10"/>
  <c r="A26" i="51"/>
  <c r="B19" i="63"/>
  <c r="B49" i="63"/>
  <c r="B44" i="63"/>
  <c r="B40" i="63"/>
  <c r="B30" i="63"/>
  <c r="B27" i="63"/>
  <c r="B25" i="63"/>
  <c r="A11" i="51"/>
  <c r="A26" i="64"/>
  <c r="K39"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C51" i="59"/>
  <c r="B51"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5" i="59"/>
  <c r="U35" i="59"/>
  <c r="Z21" i="59"/>
  <c r="AA22" i="59"/>
  <c r="V15" i="59"/>
  <c r="V19" i="59"/>
  <c r="V23" i="59"/>
  <c r="F31" i="59"/>
  <c r="V31" i="59"/>
  <c r="F38" i="59"/>
  <c r="F39" i="59"/>
  <c r="V39" i="59"/>
  <c r="F43" i="59"/>
  <c r="V43" i="59"/>
  <c r="F46" i="59"/>
  <c r="F47" i="59"/>
  <c r="V47" i="59"/>
  <c r="D25" i="59"/>
  <c r="C34" i="59"/>
  <c r="C38" i="59"/>
  <c r="D38" i="59"/>
  <c r="C46" i="59"/>
  <c r="D46" i="59"/>
  <c r="T51" i="59"/>
  <c r="O51" i="59"/>
  <c r="D51" i="59"/>
  <c r="C50" i="59"/>
  <c r="P51" i="59"/>
  <c r="Q51" i="59"/>
  <c r="C54" i="59"/>
  <c r="E54" i="59"/>
  <c r="E53" i="59"/>
  <c r="D55" i="59"/>
  <c r="E58" i="59"/>
  <c r="E57" i="59"/>
  <c r="C62" i="59"/>
  <c r="E62" i="59"/>
  <c r="E61" i="59"/>
  <c r="D63" i="59"/>
  <c r="C66" i="59"/>
  <c r="C70" i="59"/>
  <c r="D70" i="59"/>
  <c r="U16" i="4"/>
  <c r="S16" i="4"/>
  <c r="Q16" i="4"/>
  <c r="O16" i="4"/>
  <c r="M16" i="4"/>
  <c r="K16" i="4"/>
  <c r="L16" i="4"/>
  <c r="C69" i="59"/>
  <c r="D69" i="59"/>
  <c r="D62" i="59"/>
  <c r="C61" i="59"/>
  <c r="D61" i="59"/>
  <c r="D54" i="59"/>
  <c r="C53" i="59"/>
  <c r="D53" i="59"/>
  <c r="C49" i="59"/>
  <c r="O49" i="59"/>
  <c r="O50" i="59"/>
  <c r="D50" i="59"/>
  <c r="D66" i="59"/>
  <c r="C65" i="59"/>
  <c r="D65" i="59"/>
  <c r="C47" i="59"/>
  <c r="D47" i="59"/>
  <c r="C39" i="59"/>
  <c r="D39" i="59"/>
  <c r="C35" i="59"/>
  <c r="D35" i="59"/>
  <c r="D34" i="59"/>
  <c r="N16" i="4"/>
  <c r="T35" i="59"/>
  <c r="T39" i="59"/>
  <c r="T47" i="59"/>
  <c r="D49" i="59"/>
  <c r="O27" i="6"/>
  <c r="N27" i="6"/>
  <c r="P26" i="6"/>
  <c r="L26" i="6"/>
  <c r="P25" i="6"/>
  <c r="L25" i="6"/>
  <c r="P24" i="6"/>
  <c r="L24" i="6"/>
  <c r="P23" i="6"/>
  <c r="L23" i="6"/>
  <c r="P22" i="6"/>
  <c r="L22" i="6"/>
  <c r="P21" i="6"/>
  <c r="L21" i="6"/>
  <c r="P20" i="6"/>
  <c r="P19" i="6"/>
  <c r="P27" i="6"/>
  <c r="Q18" i="36"/>
  <c r="Z18" i="36"/>
  <c r="C18" i="36"/>
  <c r="D66" i="36"/>
  <c r="E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S31" i="39"/>
  <c r="C27" i="40"/>
  <c r="C31" i="39"/>
  <c r="B74" i="46"/>
  <c r="H18" i="35"/>
  <c r="J18" i="35"/>
  <c r="H21" i="37"/>
  <c r="J21" i="37"/>
  <c r="E84" i="34"/>
  <c r="F84" i="34"/>
  <c r="G84" i="34"/>
  <c r="J21" i="34"/>
  <c r="H21" i="34"/>
  <c r="F21" i="33"/>
  <c r="H21" i="33"/>
  <c r="J21" i="33"/>
  <c r="H21" i="21"/>
  <c r="U21" i="21"/>
  <c r="J21" i="21"/>
  <c r="AC21" i="21"/>
  <c r="F96" i="40"/>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7" i="1"/>
  <c r="G1" i="44"/>
  <c r="A8" i="1"/>
  <c r="A9" i="1"/>
  <c r="A10" i="1"/>
  <c r="R10" i="1"/>
  <c r="A11" i="1"/>
  <c r="T4" i="1"/>
  <c r="K12" i="1"/>
  <c r="M12" i="1"/>
  <c r="O12" i="1"/>
  <c r="K13" i="1"/>
  <c r="M13" i="1"/>
  <c r="O13" i="1"/>
  <c r="P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11" i="55"/>
  <c r="A2" i="55"/>
  <c r="B55" i="63"/>
  <c r="N3" i="54"/>
  <c r="B42" i="63"/>
  <c r="A2" i="9"/>
  <c r="T16" i="4"/>
  <c r="D14" i="4"/>
  <c r="G36" i="4"/>
  <c r="K2" i="54"/>
  <c r="B23" i="63"/>
  <c r="A3" i="51"/>
  <c r="R41" i="4"/>
  <c r="Q41" i="4"/>
  <c r="P41" i="4"/>
  <c r="O41" i="4"/>
  <c r="N41" i="4"/>
  <c r="M41" i="4"/>
  <c r="L41" i="4"/>
  <c r="K40" i="4"/>
  <c r="T40" i="4"/>
  <c r="F23" i="4"/>
  <c r="D19" i="4"/>
  <c r="I19" i="4"/>
  <c r="H19" i="4"/>
  <c r="G19" i="4"/>
  <c r="F7" i="1"/>
  <c r="F9" i="1"/>
  <c r="AP9" i="1"/>
  <c r="F19" i="4"/>
  <c r="F8" i="1"/>
  <c r="AP8" i="1"/>
  <c r="E19" i="4"/>
  <c r="B2" i="52"/>
  <c r="E22" i="52"/>
  <c r="I2" i="46"/>
  <c r="N12" i="46"/>
  <c r="A7" i="46"/>
  <c r="F41" i="4"/>
  <c r="J52" i="40"/>
  <c r="H61" i="49"/>
  <c r="H39" i="46"/>
  <c r="H38" i="46"/>
  <c r="H37" i="46"/>
  <c r="H36" i="46"/>
  <c r="H35" i="46"/>
  <c r="H34" i="46"/>
  <c r="E19"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D122" i="39"/>
  <c r="E122" i="39"/>
  <c r="F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F45"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D85" i="21"/>
  <c r="E85" i="21"/>
  <c r="D81" i="21"/>
  <c r="E81" i="21"/>
  <c r="F81" i="21"/>
  <c r="G81" i="21"/>
  <c r="D77" i="21"/>
  <c r="E77" i="21"/>
  <c r="F77" i="21"/>
  <c r="G77" i="21"/>
  <c r="B130" i="21"/>
  <c r="B128" i="21"/>
  <c r="J45" i="21"/>
  <c r="B126" i="21"/>
  <c r="B98" i="21"/>
  <c r="B96" i="21"/>
  <c r="B94" i="21"/>
  <c r="B92" i="21"/>
  <c r="B90" i="21"/>
  <c r="B74" i="21"/>
  <c r="J14" i="21"/>
  <c r="B72" i="21"/>
  <c r="B70" i="21"/>
  <c r="F12"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AA32" i="21"/>
  <c r="F38" i="21"/>
  <c r="S38" i="21"/>
  <c r="F36" i="21"/>
  <c r="S36" i="21"/>
  <c r="J40" i="21"/>
  <c r="W40" i="21"/>
  <c r="H35" i="21"/>
  <c r="AB35" i="21"/>
  <c r="J8" i="21"/>
  <c r="W8" i="21"/>
  <c r="J9" i="21"/>
  <c r="AC9" i="21"/>
  <c r="H8" i="21"/>
  <c r="H9" i="21"/>
  <c r="AB9" i="21"/>
  <c r="H39" i="21"/>
  <c r="AB39" i="21"/>
  <c r="J34" i="21"/>
  <c r="W34" i="21"/>
  <c r="H36" i="21"/>
  <c r="U36" i="21"/>
  <c r="F35" i="21"/>
  <c r="AA35" i="21"/>
  <c r="J33" i="21"/>
  <c r="W33" i="21"/>
  <c r="H33" i="21"/>
  <c r="U33" i="21"/>
  <c r="F33" i="21"/>
  <c r="AA33" i="21"/>
  <c r="H26" i="21"/>
  <c r="AB26" i="21"/>
  <c r="H19" i="21"/>
  <c r="AB19" i="21"/>
  <c r="J12" i="21"/>
  <c r="W12" i="21"/>
  <c r="J26" i="21"/>
  <c r="W26" i="21"/>
  <c r="F26" i="21"/>
  <c r="AA26" i="21"/>
  <c r="AA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S8" i="21"/>
  <c r="H39" i="37"/>
  <c r="AB39" i="37"/>
  <c r="AB27" i="35"/>
  <c r="S10" i="40"/>
  <c r="W10" i="40"/>
  <c r="S11" i="40"/>
  <c r="U11" i="40"/>
  <c r="S36" i="40"/>
  <c r="U36" i="40"/>
  <c r="S40" i="39"/>
  <c r="S36" i="39"/>
  <c r="AC40" i="21"/>
  <c r="AB36" i="21"/>
  <c r="C29" i="39"/>
  <c r="C23" i="39"/>
  <c r="U36" i="39"/>
  <c r="H32" i="33"/>
  <c r="AB32" i="33"/>
  <c r="F100" i="40"/>
  <c r="F86"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F14" i="21"/>
  <c r="AA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AB30" i="21"/>
  <c r="S28" i="21"/>
  <c r="AA28" i="21"/>
  <c r="W31" i="34"/>
  <c r="S46" i="33"/>
  <c r="U36" i="37"/>
  <c r="AC13" i="36"/>
  <c r="AB45" i="33"/>
  <c r="AB31" i="33"/>
  <c r="AA27" i="33"/>
  <c r="AB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S27" i="37"/>
  <c r="U39" i="37"/>
  <c r="AC8" i="37"/>
  <c r="S25" i="37"/>
  <c r="AC36" i="34"/>
  <c r="AB8" i="34"/>
  <c r="AC37" i="33"/>
  <c r="AA13" i="33"/>
  <c r="AC45" i="33"/>
  <c r="U19" i="21"/>
  <c r="S39" i="33"/>
  <c r="F43" i="33"/>
  <c r="AA43" i="33"/>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U26" i="21"/>
  <c r="W9" i="21"/>
  <c r="J32" i="21"/>
  <c r="AC32" i="21"/>
  <c r="AC5" i="3"/>
  <c r="H17" i="21"/>
  <c r="AB1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99" i="37"/>
  <c r="AC27" i="37"/>
  <c r="U25" i="35"/>
  <c r="S45" i="34"/>
  <c r="U31" i="34"/>
  <c r="AC40" i="37"/>
  <c r="W40" i="37"/>
  <c r="W27" i="33"/>
  <c r="S28" i="33"/>
  <c r="AA44" i="34"/>
  <c r="AB29" i="35"/>
  <c r="U29" i="35"/>
  <c r="AC19" i="33"/>
  <c r="W19" i="33"/>
  <c r="U43" i="34"/>
  <c r="AB43" i="34"/>
  <c r="AC34" i="37"/>
  <c r="S35" i="37"/>
  <c r="AA35" i="37"/>
  <c r="AB10" i="35"/>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H33" i="39"/>
  <c r="U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AA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U8"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AC15" i="40"/>
  <c r="H15" i="40"/>
  <c r="AB15" i="40"/>
  <c r="E92" i="40"/>
  <c r="F92" i="40"/>
  <c r="H23" i="40"/>
  <c r="U23" i="40"/>
  <c r="H41" i="40"/>
  <c r="AB41" i="40"/>
  <c r="F41" i="40"/>
  <c r="AA41" i="40"/>
  <c r="J41" i="40"/>
  <c r="H36" i="33"/>
  <c r="AB36" i="33"/>
  <c r="H37" i="34"/>
  <c r="U37" i="34"/>
  <c r="F15" i="39"/>
  <c r="AA15" i="39"/>
  <c r="H15" i="39"/>
  <c r="U15" i="39"/>
  <c r="J15" i="39"/>
  <c r="AC15" i="39"/>
  <c r="H25" i="39"/>
  <c r="U25" i="39"/>
  <c r="F25" i="39"/>
  <c r="AA25" i="39"/>
  <c r="F41" i="39"/>
  <c r="AA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W40" i="40"/>
  <c r="F34" i="44"/>
  <c r="F27" i="43"/>
  <c r="F66" i="9"/>
  <c r="P72" i="9"/>
  <c r="F71" i="9"/>
  <c r="F72" i="9"/>
  <c r="W35" i="40"/>
  <c r="AB32" i="40"/>
  <c r="AB37" i="34"/>
  <c r="AC41" i="40"/>
  <c r="W41" i="40"/>
  <c r="U41" i="40"/>
  <c r="J23" i="40"/>
  <c r="AC23" i="40"/>
  <c r="G92" i="40"/>
  <c r="F23" i="40"/>
  <c r="S23" i="40"/>
  <c r="W15" i="40"/>
  <c r="U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U21" i="39"/>
  <c r="AB33" i="36"/>
  <c r="AA11" i="36"/>
  <c r="AA14" i="35"/>
  <c r="S14" i="35"/>
  <c r="G99" i="37"/>
  <c r="F33" i="37"/>
  <c r="U19" i="39"/>
  <c r="U46" i="34"/>
  <c r="AC30" i="34"/>
  <c r="AA14" i="34"/>
  <c r="W12" i="34"/>
  <c r="U29" i="33"/>
  <c r="AC13" i="33"/>
  <c r="U17" i="34"/>
  <c r="AA11" i="34"/>
  <c r="W32" i="33"/>
  <c r="H15" i="33"/>
  <c r="U15" i="33"/>
  <c r="AA11" i="33"/>
  <c r="AA40" i="21"/>
  <c r="U16" i="40"/>
  <c r="AB34" i="40"/>
  <c r="U42"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AC39" i="39"/>
  <c r="W39" i="39"/>
  <c r="S39" i="39"/>
  <c r="AB46"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B11" i="1"/>
  <c r="E11" i="1"/>
  <c r="K11" i="1"/>
  <c r="M11" i="1"/>
  <c r="B9" i="1"/>
  <c r="E9" i="1"/>
  <c r="K9" i="1"/>
  <c r="M9" i="1"/>
  <c r="C20" i="43"/>
  <c r="G11" i="1"/>
  <c r="M22" i="44"/>
  <c r="F32" i="15"/>
  <c r="F59" i="15"/>
  <c r="F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AB32" i="21"/>
  <c r="AC46" i="21"/>
  <c r="AC26" i="21"/>
  <c r="H23" i="21"/>
  <c r="U23" i="21"/>
  <c r="J15" i="21"/>
  <c r="AC15" i="21"/>
  <c r="W21" i="21"/>
  <c r="W44" i="21"/>
  <c r="AB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19" i="39"/>
  <c r="AC38" i="39"/>
  <c r="W29" i="39"/>
  <c r="AC21" i="39"/>
  <c r="AC17" i="39"/>
  <c r="S14" i="39"/>
  <c r="AB38" i="39"/>
  <c r="AB31" i="39"/>
  <c r="S22" i="31"/>
  <c r="D18" i="9"/>
  <c r="M44" i="9"/>
  <c r="M43" i="9"/>
  <c r="B22" i="63"/>
  <c r="M20" i="15"/>
  <c r="D96" i="9"/>
  <c r="F28" i="15"/>
  <c r="C28" i="15"/>
  <c r="M18" i="15"/>
  <c r="A18" i="64"/>
  <c r="B74" i="63"/>
  <c r="C53" i="10"/>
  <c r="A25" i="64"/>
  <c r="A18" i="51"/>
  <c r="B14" i="63"/>
  <c r="K1" i="43"/>
  <c r="BK5" i="3"/>
  <c r="BP5" i="3"/>
  <c r="BN5" i="3"/>
  <c r="BC5" i="3"/>
  <c r="BD5" i="3"/>
  <c r="BR5" i="3"/>
  <c r="G28" i="6"/>
  <c r="BS5" i="3"/>
  <c r="BQ5" i="3"/>
  <c r="F28" i="6"/>
  <c r="E28" i="6"/>
  <c r="K14" i="1"/>
  <c r="M14" i="1"/>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H58" i="46"/>
  <c r="H61" i="46"/>
  <c r="H62" i="46"/>
  <c r="H71" i="46"/>
  <c r="H75" i="46"/>
  <c r="H76" i="46"/>
  <c r="I100" i="46"/>
  <c r="N100" i="46"/>
  <c r="H100" i="46"/>
  <c r="H80" i="46"/>
  <c r="G100" i="46"/>
  <c r="H84" i="46"/>
  <c r="H65" i="46"/>
  <c r="H66" i="46"/>
  <c r="J100" i="46"/>
  <c r="M100" i="46"/>
  <c r="AA12" i="36"/>
  <c r="U12" i="35"/>
  <c r="AB12" i="35"/>
  <c r="W11" i="35"/>
  <c r="AA11" i="35"/>
  <c r="S14" i="37"/>
  <c r="U13" i="37"/>
  <c r="S13" i="21"/>
  <c r="C24" i="9"/>
  <c r="C25" i="9"/>
  <c r="G9" i="1"/>
  <c r="G8" i="1"/>
  <c r="B6" i="63"/>
  <c r="L5" i="54"/>
  <c r="B39" i="63"/>
  <c r="K5" i="54"/>
  <c r="B38" i="63"/>
  <c r="T41" i="4"/>
  <c r="A17" i="64"/>
  <c r="B46" i="50"/>
  <c r="B4" i="63"/>
  <c r="C46" i="36"/>
  <c r="D46" i="36"/>
  <c r="C59" i="34"/>
  <c r="D59" i="34"/>
  <c r="C48" i="35"/>
  <c r="D48" i="35"/>
  <c r="C52" i="37"/>
  <c r="D52" i="37"/>
  <c r="F7" i="33"/>
  <c r="J7" i="33"/>
  <c r="C67" i="40"/>
  <c r="D65" i="40"/>
  <c r="P24" i="46"/>
  <c r="B68" i="40"/>
  <c r="P25" i="46"/>
  <c r="B73" i="39"/>
  <c r="P23" i="46"/>
  <c r="P21" i="46"/>
  <c r="P22" i="46"/>
  <c r="H7" i="33"/>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P12" i="1"/>
  <c r="F66" i="36"/>
  <c r="H18" i="36"/>
  <c r="U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9" i="21"/>
  <c r="G96" i="40"/>
  <c r="J27" i="40"/>
  <c r="W37" i="40"/>
  <c r="S17" i="40"/>
  <c r="W30" i="40"/>
  <c r="S34" i="40"/>
  <c r="U17" i="40"/>
  <c r="U38" i="40"/>
  <c r="S40" i="40"/>
  <c r="S42" i="40"/>
  <c r="J31" i="39"/>
  <c r="W31" i="39"/>
  <c r="AC46" i="39"/>
  <c r="W42" i="39"/>
  <c r="W36" i="39"/>
  <c r="W16" i="39"/>
  <c r="AA46" i="39"/>
  <c r="W10" i="39"/>
  <c r="W11" i="39"/>
  <c r="U42" i="39"/>
  <c r="W40" i="39"/>
  <c r="S32" i="40"/>
  <c r="C17" i="40"/>
  <c r="C19" i="40"/>
  <c r="C19" i="39"/>
  <c r="C21" i="39"/>
  <c r="C23" i="40"/>
  <c r="B48" i="46"/>
  <c r="B51" i="46"/>
  <c r="B55" i="46"/>
  <c r="B59" i="46"/>
  <c r="B62" i="46"/>
  <c r="B53" i="46"/>
  <c r="B64" i="46"/>
  <c r="D24" i="15"/>
  <c r="AG6" i="1"/>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G30" i="6"/>
  <c r="G31" i="6"/>
  <c r="H70" i="46"/>
  <c r="H72" i="46"/>
  <c r="A9" i="64"/>
  <c r="A9" i="51"/>
  <c r="B9" i="63"/>
  <c r="A25" i="51"/>
  <c r="B18" i="63"/>
  <c r="A3" i="55"/>
  <c r="B56" i="63"/>
  <c r="E52" i="37"/>
  <c r="F52" i="37"/>
  <c r="G52" i="37"/>
  <c r="E48" i="35"/>
  <c r="F48" i="35"/>
  <c r="D72" i="39"/>
  <c r="E70" i="39"/>
  <c r="W7" i="33"/>
  <c r="AC7" i="33"/>
  <c r="V48" i="33"/>
  <c r="I48" i="33"/>
  <c r="U7" i="33"/>
  <c r="AB7" i="33"/>
  <c r="T48" i="33"/>
  <c r="G48" i="33"/>
  <c r="D67" i="40"/>
  <c r="E65" i="40"/>
  <c r="S7" i="33"/>
  <c r="AA7" i="33"/>
  <c r="R48" i="33"/>
  <c r="R49" i="33"/>
  <c r="E4" i="4"/>
  <c r="B21" i="55"/>
  <c r="B72" i="63"/>
  <c r="G66" i="36"/>
  <c r="J18" i="36"/>
  <c r="AC18" i="36"/>
  <c r="AE8" i="1"/>
  <c r="AE6" i="1"/>
  <c r="F33" i="44"/>
  <c r="F31" i="15"/>
  <c r="F58" i="15"/>
  <c r="M17" i="15"/>
  <c r="M19" i="44"/>
  <c r="W18" i="36"/>
  <c r="E48" i="33"/>
  <c r="E52" i="33"/>
  <c r="F52" i="33"/>
  <c r="L20" i="6"/>
  <c r="E67" i="40"/>
  <c r="F65" i="40"/>
  <c r="E72" i="39"/>
  <c r="F70" i="39"/>
  <c r="S8" i="1"/>
  <c r="S9" i="1"/>
  <c r="F72" i="39"/>
  <c r="G70" i="39"/>
  <c r="F67" i="40"/>
  <c r="G65" i="40"/>
  <c r="G67" i="40"/>
  <c r="H65" i="40"/>
  <c r="H67" i="40"/>
  <c r="G72" i="39"/>
  <c r="H70" i="39"/>
  <c r="H72" i="39"/>
  <c r="R9" i="1"/>
  <c r="I70" i="39"/>
  <c r="J70" i="39"/>
  <c r="I65" i="40"/>
  <c r="J65" i="40"/>
  <c r="R8" i="1"/>
  <c r="I67" i="40"/>
  <c r="I72" i="39"/>
  <c r="C45" i="9"/>
  <c r="H14" i="66"/>
  <c r="B7" i="66"/>
  <c r="O40" i="9"/>
  <c r="R7" i="54"/>
  <c r="B52" i="63"/>
  <c r="K31" i="9"/>
  <c r="K32" i="9"/>
  <c r="N76" i="9"/>
  <c r="C46" i="9"/>
  <c r="I14" i="66"/>
  <c r="B8" i="66"/>
  <c r="K33" i="9"/>
  <c r="O41" i="9"/>
  <c r="K34" i="9"/>
  <c r="R8" i="54"/>
  <c r="B54" i="63"/>
  <c r="C11" i="11"/>
  <c r="C10" i="11"/>
  <c r="F8" i="67"/>
  <c r="E9" i="67"/>
  <c r="B8" i="67"/>
  <c r="I7" i="65"/>
  <c r="J4" i="65"/>
  <c r="J17" i="44"/>
  <c r="F28" i="44"/>
  <c r="M30" i="44"/>
  <c r="E10" i="67"/>
  <c r="N5" i="65"/>
  <c r="F15" i="44"/>
  <c r="M24" i="44"/>
  <c r="F13" i="67"/>
  <c r="B11" i="67"/>
  <c r="M25" i="44"/>
  <c r="F45" i="44"/>
  <c r="L48" i="44"/>
  <c r="I4" i="65"/>
  <c r="F14" i="67"/>
  <c r="B14" i="67"/>
  <c r="I3" i="65"/>
  <c r="I5" i="65"/>
  <c r="F18" i="44"/>
  <c r="M8" i="44"/>
  <c r="M31" i="44"/>
  <c r="F11" i="67"/>
  <c r="N7" i="65"/>
  <c r="M11" i="44"/>
  <c r="F9" i="44"/>
  <c r="F9" i="67"/>
  <c r="B9" i="67"/>
  <c r="N6" i="65"/>
  <c r="M23" i="44"/>
  <c r="F12" i="67"/>
  <c r="E13" i="67"/>
  <c r="B10" i="67"/>
  <c r="N3" i="65"/>
  <c r="F11" i="44"/>
  <c r="M10" i="44"/>
  <c r="F8" i="44"/>
  <c r="F46" i="44"/>
  <c r="B13" i="67"/>
  <c r="J3" i="65"/>
  <c r="M26" i="44"/>
  <c r="L49" i="44"/>
  <c r="E12" i="67"/>
  <c r="N4" i="65"/>
  <c r="F10" i="44"/>
  <c r="F37" i="44"/>
  <c r="F43" i="44"/>
  <c r="F10" i="67"/>
  <c r="E11" i="67"/>
  <c r="B12" i="67"/>
  <c r="J6" i="65"/>
  <c r="I6" i="65"/>
  <c r="F39" i="44"/>
  <c r="M28" i="44"/>
  <c r="F38" i="44"/>
  <c r="E14" i="67"/>
  <c r="J5" i="65"/>
  <c r="M29" i="44"/>
  <c r="C19" i="44"/>
  <c r="E8" i="67"/>
  <c r="J7" i="65"/>
  <c r="F40" i="44"/>
  <c r="I53" i="33"/>
  <c r="J53" i="33"/>
  <c r="I52" i="33"/>
  <c r="J52" i="33"/>
  <c r="H52" i="37"/>
  <c r="I52" i="37"/>
  <c r="J52" i="37"/>
  <c r="K52" i="37"/>
  <c r="L52" i="37"/>
  <c r="M52" i="37"/>
  <c r="N52" i="37"/>
  <c r="O52" i="37"/>
  <c r="H7" i="37"/>
  <c r="F7" i="37"/>
  <c r="F7" i="36"/>
  <c r="E46" i="36"/>
  <c r="F46" i="36"/>
  <c r="G46" i="36"/>
  <c r="H46" i="36"/>
  <c r="I46" i="36"/>
  <c r="J46" i="36"/>
  <c r="K46" i="36"/>
  <c r="L46" i="36"/>
  <c r="M46" i="36"/>
  <c r="N46" i="36"/>
  <c r="O46" i="36"/>
  <c r="H7" i="36"/>
  <c r="J7" i="36"/>
  <c r="K65" i="40"/>
  <c r="J67" i="40"/>
  <c r="C49" i="33"/>
  <c r="B3" i="33"/>
  <c r="C48" i="33"/>
  <c r="K70" i="39"/>
  <c r="J72" i="39"/>
  <c r="G52" i="33"/>
  <c r="H52" i="33"/>
  <c r="G53" i="33"/>
  <c r="H53" i="33"/>
  <c r="G48" i="35"/>
  <c r="H48" i="35"/>
  <c r="I48" i="35"/>
  <c r="J48" i="35"/>
  <c r="K48" i="35"/>
  <c r="L48" i="35"/>
  <c r="M48" i="35"/>
  <c r="N48" i="35"/>
  <c r="O48" i="35"/>
  <c r="J7" i="35"/>
  <c r="H7" i="35"/>
  <c r="F7" i="34"/>
  <c r="H7" i="34"/>
  <c r="E59" i="34"/>
  <c r="F59" i="34"/>
  <c r="G59" i="34"/>
  <c r="H59" i="34"/>
  <c r="I59" i="34"/>
  <c r="J59" i="34"/>
  <c r="K59" i="34"/>
  <c r="L59" i="34"/>
  <c r="M59" i="34"/>
  <c r="N59" i="34"/>
  <c r="O59" i="34"/>
  <c r="AA28" i="34"/>
  <c r="S28" i="34"/>
  <c r="AC24" i="36"/>
  <c r="W24" i="36"/>
  <c r="E53" i="33"/>
  <c r="F53" i="33"/>
  <c r="J7" i="37"/>
  <c r="F7" i="35"/>
  <c r="U25" i="33"/>
  <c r="AC16" i="40"/>
  <c r="W34" i="40"/>
  <c r="W14" i="39"/>
  <c r="S33" i="40"/>
  <c r="AC14" i="40"/>
  <c r="AB14" i="40"/>
  <c r="AA23" i="37"/>
  <c r="AC23" i="37"/>
  <c r="AC39" i="37"/>
  <c r="W39" i="37"/>
  <c r="D1" i="57"/>
  <c r="E10" i="57"/>
  <c r="I7" i="21"/>
  <c r="E7" i="21"/>
  <c r="F7" i="21"/>
  <c r="G7" i="21"/>
  <c r="B2" i="33"/>
  <c r="N51" i="59"/>
  <c r="B50" i="59"/>
  <c r="T59" i="59"/>
  <c r="C58" i="59"/>
  <c r="AA39" i="37"/>
  <c r="F39" i="21"/>
  <c r="AA39" i="21"/>
  <c r="J39" i="21"/>
  <c r="AC39" i="21"/>
  <c r="C58" i="21"/>
  <c r="D58" i="21"/>
  <c r="E58" i="21"/>
  <c r="F58" i="21"/>
  <c r="G58" i="21"/>
  <c r="H58" i="21"/>
  <c r="I58" i="21"/>
  <c r="J58" i="21"/>
  <c r="K58" i="21"/>
  <c r="L58" i="21"/>
  <c r="M58" i="21"/>
  <c r="N58" i="21"/>
  <c r="O58" i="21"/>
  <c r="F9" i="33"/>
  <c r="H9" i="33"/>
  <c r="F9" i="36"/>
  <c r="H9" i="36"/>
  <c r="H24" i="36"/>
  <c r="C12" i="39"/>
  <c r="F6" i="1"/>
  <c r="F21" i="21"/>
  <c r="AA21" i="21"/>
  <c r="O48" i="59"/>
  <c r="D59" i="59"/>
  <c r="C42" i="59"/>
  <c r="S51" i="59"/>
  <c r="C26" i="59"/>
  <c r="C30" i="59"/>
  <c r="D30" i="59"/>
  <c r="D29" i="59"/>
  <c r="F50" i="59"/>
  <c r="E50" i="59"/>
  <c r="U51" i="59"/>
  <c r="G5" i="3"/>
  <c r="B3" i="3"/>
  <c r="AZ500" i="3"/>
  <c r="BA505" i="3"/>
  <c r="AZ505" i="3"/>
  <c r="BL502" i="3"/>
  <c r="AZ502" i="3"/>
  <c r="BA501" i="3"/>
  <c r="AZ501" i="3"/>
  <c r="BL498" i="3"/>
  <c r="AZ498" i="3"/>
  <c r="BA497" i="3"/>
  <c r="AZ497" i="3"/>
  <c r="R16" i="4"/>
  <c r="AD12" i="46"/>
  <c r="AH12" i="46"/>
  <c r="BL504" i="3"/>
  <c r="AZ504" i="3"/>
  <c r="BA503" i="3"/>
  <c r="AZ503" i="3"/>
  <c r="BL500" i="3"/>
  <c r="BA499" i="3"/>
  <c r="AZ499" i="3"/>
  <c r="BL496" i="3"/>
  <c r="AZ496" i="3"/>
  <c r="AZ144" i="3"/>
  <c r="BL146" i="3"/>
  <c r="AZ146" i="3"/>
  <c r="BA145" i="3"/>
  <c r="AZ145" i="3"/>
  <c r="BL144" i="3"/>
  <c r="BL133" i="3"/>
  <c r="AZ133" i="3"/>
  <c r="BA132" i="3"/>
  <c r="AZ132" i="3"/>
  <c r="BL129" i="3"/>
  <c r="AZ129" i="3"/>
  <c r="BA128" i="3"/>
  <c r="AZ128" i="3"/>
  <c r="BL125" i="3"/>
  <c r="AZ125" i="3"/>
  <c r="BA124" i="3"/>
  <c r="AZ124" i="3"/>
  <c r="BL121" i="3"/>
  <c r="AZ121" i="3"/>
  <c r="BA120" i="3"/>
  <c r="AZ120" i="3"/>
  <c r="BL117" i="3"/>
  <c r="AZ117" i="3"/>
  <c r="BA116" i="3"/>
  <c r="AZ116" i="3"/>
  <c r="BL113" i="3"/>
  <c r="AZ113" i="3"/>
  <c r="BA112" i="3"/>
  <c r="AZ112" i="3"/>
  <c r="BL109" i="3"/>
  <c r="AZ109" i="3"/>
  <c r="BA108" i="3"/>
  <c r="AZ108" i="3"/>
  <c r="BL105" i="3"/>
  <c r="AZ105" i="3"/>
  <c r="BA104" i="3"/>
  <c r="AZ104" i="3"/>
  <c r="BL101" i="3"/>
  <c r="AZ101" i="3"/>
  <c r="BA100" i="3"/>
  <c r="AZ100" i="3"/>
  <c r="BL97" i="3"/>
  <c r="AZ97" i="3"/>
  <c r="BA96" i="3"/>
  <c r="AZ96" i="3"/>
  <c r="BL93" i="3"/>
  <c r="AZ93" i="3"/>
  <c r="BA92" i="3"/>
  <c r="AZ92" i="3"/>
  <c r="BL89" i="3"/>
  <c r="AZ89" i="3"/>
  <c r="BA88" i="3"/>
  <c r="AZ88" i="3"/>
  <c r="BL85" i="3"/>
  <c r="AZ85" i="3"/>
  <c r="BA84" i="3"/>
  <c r="AZ84" i="3"/>
  <c r="BL81" i="3"/>
  <c r="AZ81" i="3"/>
  <c r="BA80" i="3"/>
  <c r="AZ80" i="3"/>
  <c r="BL77" i="3"/>
  <c r="AZ77" i="3"/>
  <c r="BA76" i="3"/>
  <c r="AZ76" i="3"/>
  <c r="BL73" i="3"/>
  <c r="AZ73" i="3"/>
  <c r="BA72" i="3"/>
  <c r="AZ72" i="3"/>
  <c r="BL69" i="3"/>
  <c r="AZ69" i="3"/>
  <c r="BA68" i="3"/>
  <c r="AZ68" i="3"/>
  <c r="BL65" i="3"/>
  <c r="AZ65" i="3"/>
  <c r="BA64" i="3"/>
  <c r="AZ64" i="3"/>
  <c r="BL61" i="3"/>
  <c r="AZ61" i="3"/>
  <c r="BA60" i="3"/>
  <c r="AZ60" i="3"/>
  <c r="BL57" i="3"/>
  <c r="AZ57" i="3"/>
  <c r="BA56" i="3"/>
  <c r="AZ56" i="3"/>
  <c r="BL53" i="3"/>
  <c r="AZ53" i="3"/>
  <c r="BA52" i="3"/>
  <c r="AZ52" i="3"/>
  <c r="BL49" i="3"/>
  <c r="AZ49" i="3"/>
  <c r="BA48" i="3"/>
  <c r="AZ48" i="3"/>
  <c r="BA134" i="3"/>
  <c r="AZ134" i="3"/>
  <c r="BL131" i="3"/>
  <c r="AZ131" i="3"/>
  <c r="BA130" i="3"/>
  <c r="AZ130" i="3"/>
  <c r="BL127" i="3"/>
  <c r="AZ127" i="3"/>
  <c r="BA126" i="3"/>
  <c r="AZ126" i="3"/>
  <c r="BL123" i="3"/>
  <c r="AZ123" i="3"/>
  <c r="BA122" i="3"/>
  <c r="AZ122" i="3"/>
  <c r="BL119" i="3"/>
  <c r="AZ119" i="3"/>
  <c r="BA118" i="3"/>
  <c r="AZ118" i="3"/>
  <c r="BL115" i="3"/>
  <c r="AZ115" i="3"/>
  <c r="BA114" i="3"/>
  <c r="AZ114" i="3"/>
  <c r="BL111" i="3"/>
  <c r="AZ111" i="3"/>
  <c r="BA110" i="3"/>
  <c r="AZ110" i="3"/>
  <c r="BL107" i="3"/>
  <c r="AZ107" i="3"/>
  <c r="BA106" i="3"/>
  <c r="AZ106" i="3"/>
  <c r="BL103" i="3"/>
  <c r="AZ103" i="3"/>
  <c r="BA102" i="3"/>
  <c r="AZ102" i="3"/>
  <c r="BL99" i="3"/>
  <c r="AZ99" i="3"/>
  <c r="BA98" i="3"/>
  <c r="AZ98" i="3"/>
  <c r="BL95" i="3"/>
  <c r="AZ95" i="3"/>
  <c r="BA94" i="3"/>
  <c r="AZ94" i="3"/>
  <c r="BL91" i="3"/>
  <c r="AZ91" i="3"/>
  <c r="BA90" i="3"/>
  <c r="AZ90" i="3"/>
  <c r="BL87" i="3"/>
  <c r="AZ87" i="3"/>
  <c r="BA86" i="3"/>
  <c r="AZ86" i="3"/>
  <c r="BL83" i="3"/>
  <c r="AZ83" i="3"/>
  <c r="BA82" i="3"/>
  <c r="AZ82" i="3"/>
  <c r="BL79" i="3"/>
  <c r="AZ79" i="3"/>
  <c r="BA78" i="3"/>
  <c r="AZ78" i="3"/>
  <c r="BL75" i="3"/>
  <c r="AZ75" i="3"/>
  <c r="BA74" i="3"/>
  <c r="AZ74" i="3"/>
  <c r="BL71" i="3"/>
  <c r="AZ71" i="3"/>
  <c r="BA70" i="3"/>
  <c r="AZ70" i="3"/>
  <c r="BL67" i="3"/>
  <c r="AZ67" i="3"/>
  <c r="BA66" i="3"/>
  <c r="AZ66" i="3"/>
  <c r="BL63" i="3"/>
  <c r="AZ63" i="3"/>
  <c r="BA62" i="3"/>
  <c r="AZ62" i="3"/>
  <c r="BL59" i="3"/>
  <c r="AZ59" i="3"/>
  <c r="BA58" i="3"/>
  <c r="AZ58" i="3"/>
  <c r="BL55" i="3"/>
  <c r="AZ55" i="3"/>
  <c r="BA54" i="3"/>
  <c r="AZ54" i="3"/>
  <c r="BL51" i="3"/>
  <c r="AZ51" i="3"/>
  <c r="BA50" i="3"/>
  <c r="AZ50" i="3"/>
  <c r="AZ31" i="3"/>
  <c r="AZ23" i="3"/>
  <c r="AZ15" i="3"/>
  <c r="BL31" i="3"/>
  <c r="BA30" i="3"/>
  <c r="AZ30" i="3"/>
  <c r="BL27" i="3"/>
  <c r="AZ27" i="3"/>
  <c r="BA26" i="3"/>
  <c r="AZ26" i="3"/>
  <c r="BL23" i="3"/>
  <c r="BA22" i="3"/>
  <c r="AZ22" i="3"/>
  <c r="BL19" i="3"/>
  <c r="AZ19" i="3"/>
  <c r="BA18" i="3"/>
  <c r="AZ18" i="3"/>
  <c r="BL15" i="3"/>
  <c r="BA14" i="3"/>
  <c r="AZ14" i="3"/>
  <c r="BO5" i="3"/>
  <c r="BM5" i="3"/>
  <c r="BB5" i="3"/>
  <c r="E58" i="46"/>
  <c r="B56" i="46"/>
  <c r="E9" i="46"/>
  <c r="E11" i="46"/>
  <c r="E8" i="46"/>
  <c r="C7" i="46"/>
  <c r="E10" i="46"/>
  <c r="D6" i="59"/>
  <c r="C5" i="59"/>
  <c r="D5" i="59"/>
  <c r="D21" i="59"/>
  <c r="C22" i="59"/>
  <c r="D17" i="59"/>
  <c r="C18" i="59"/>
  <c r="D13" i="59"/>
  <c r="C14" i="59"/>
  <c r="BA32" i="3"/>
  <c r="AZ32" i="3"/>
  <c r="BL29" i="3"/>
  <c r="AZ29" i="3"/>
  <c r="BA28" i="3"/>
  <c r="AZ28" i="3"/>
  <c r="BL25" i="3"/>
  <c r="AZ25" i="3"/>
  <c r="BA24" i="3"/>
  <c r="AZ24" i="3"/>
  <c r="BL21" i="3"/>
  <c r="AZ21" i="3"/>
  <c r="BA20" i="3"/>
  <c r="AZ20" i="3"/>
  <c r="BL17" i="3"/>
  <c r="AZ17" i="3"/>
  <c r="BA16" i="3"/>
  <c r="AZ16" i="3"/>
  <c r="E69" i="46"/>
  <c r="B67" i="46"/>
  <c r="E47" i="46"/>
  <c r="B45" i="46"/>
  <c r="BA13" i="3"/>
  <c r="BA5" i="3"/>
  <c r="F34" i="46"/>
  <c r="F36" i="46"/>
  <c r="F37" i="46"/>
  <c r="F39" i="46"/>
  <c r="C20" i="46"/>
  <c r="J17" i="46"/>
  <c r="H17" i="46"/>
  <c r="C16" i="46"/>
  <c r="C5" i="46"/>
  <c r="D10" i="59"/>
  <c r="F85" i="21"/>
  <c r="G85" i="21"/>
  <c r="F23" i="21"/>
  <c r="AA23" i="21"/>
  <c r="J23" i="21"/>
  <c r="F79" i="21"/>
  <c r="G79" i="21"/>
  <c r="F17" i="21"/>
  <c r="S17" i="21"/>
  <c r="J17" i="21"/>
  <c r="AC17" i="21"/>
  <c r="D23" i="15"/>
  <c r="J10" i="21"/>
  <c r="H10" i="21"/>
  <c r="F10" i="21"/>
  <c r="AA10" i="21"/>
  <c r="S33" i="21"/>
  <c r="AA12" i="21"/>
  <c r="S12" i="21"/>
  <c r="AC14" i="21"/>
  <c r="W14" i="21"/>
  <c r="H14" i="21"/>
  <c r="U14" i="21"/>
  <c r="H12" i="21"/>
  <c r="C17" i="39"/>
  <c r="H15" i="21"/>
  <c r="U15" i="21"/>
  <c r="F15" i="21"/>
  <c r="S15" i="21"/>
  <c r="AA15" i="21"/>
  <c r="S42" i="21"/>
  <c r="AA38" i="21"/>
  <c r="U40" i="21"/>
  <c r="S39" i="21"/>
  <c r="AC38" i="21"/>
  <c r="AA36" i="21"/>
  <c r="S21" i="21"/>
  <c r="J19" i="21"/>
  <c r="W19" i="21"/>
  <c r="F19" i="21"/>
  <c r="W15" i="21"/>
  <c r="AC34" i="21"/>
  <c r="AB34" i="21"/>
  <c r="S34" i="21"/>
  <c r="S23" i="21"/>
  <c r="W17" i="21"/>
  <c r="AA17" i="21"/>
  <c r="U17" i="21"/>
  <c r="W29" i="21"/>
  <c r="W31" i="21"/>
  <c r="AA31" i="21"/>
  <c r="S32" i="21"/>
  <c r="W32" i="21"/>
  <c r="H113" i="21"/>
  <c r="J37" i="21"/>
  <c r="W37" i="21"/>
  <c r="H37" i="21"/>
  <c r="F37" i="21"/>
  <c r="W45" i="21"/>
  <c r="AC45" i="21"/>
  <c r="W43" i="21"/>
  <c r="AA43" i="21"/>
  <c r="H45" i="21"/>
  <c r="F45" i="21"/>
  <c r="S10" i="21"/>
  <c r="F11" i="21"/>
  <c r="S11" i="21"/>
  <c r="J11" i="21"/>
  <c r="W11" i="21"/>
  <c r="F69" i="21"/>
  <c r="G69" i="21"/>
  <c r="H69" i="21"/>
  <c r="I69" i="21"/>
  <c r="J69" i="21"/>
  <c r="K69" i="21"/>
  <c r="L69" i="21"/>
  <c r="M69" i="21"/>
  <c r="H11" i="21"/>
  <c r="U11" i="21"/>
  <c r="AC8" i="21"/>
  <c r="W41" i="21"/>
  <c r="AB41" i="21"/>
  <c r="U42" i="21"/>
  <c r="W42" i="21"/>
  <c r="W39" i="21"/>
  <c r="U39" i="21"/>
  <c r="U38" i="21"/>
  <c r="AC36" i="21"/>
  <c r="AC35" i="21"/>
  <c r="U35" i="21"/>
  <c r="S35" i="21"/>
  <c r="AB33" i="21"/>
  <c r="AC33" i="21"/>
  <c r="AA30" i="21"/>
  <c r="W28" i="21"/>
  <c r="AC27" i="21"/>
  <c r="S27" i="21"/>
  <c r="U27" i="21"/>
  <c r="AA25" i="21"/>
  <c r="W13" i="21"/>
  <c r="S14" i="21"/>
  <c r="AB14" i="21"/>
  <c r="AB13" i="21"/>
  <c r="AA11" i="21"/>
  <c r="AB11" i="21"/>
  <c r="AA9" i="21"/>
  <c r="S41" i="39"/>
  <c r="AP7" i="1"/>
  <c r="G7" i="1"/>
  <c r="G10" i="1"/>
  <c r="P16" i="4"/>
  <c r="K17" i="4"/>
  <c r="A22" i="51"/>
  <c r="B16" i="63"/>
  <c r="AA45" i="39"/>
  <c r="S45" i="39"/>
  <c r="AA47" i="39"/>
  <c r="S47" i="39"/>
  <c r="J47" i="39"/>
  <c r="H47" i="39"/>
  <c r="J45" i="39"/>
  <c r="H45" i="39"/>
  <c r="AA44" i="39"/>
  <c r="AC44" i="39"/>
  <c r="AB44" i="39"/>
  <c r="S42" i="39"/>
  <c r="H43" i="39"/>
  <c r="J43" i="39"/>
  <c r="G126" i="39"/>
  <c r="H126" i="39"/>
  <c r="I126" i="39"/>
  <c r="J126" i="39"/>
  <c r="K126" i="39"/>
  <c r="L126" i="39"/>
  <c r="M126" i="39"/>
  <c r="F43" i="39"/>
  <c r="H41" i="39"/>
  <c r="G122" i="39"/>
  <c r="H122" i="39"/>
  <c r="I122" i="39"/>
  <c r="J122" i="39"/>
  <c r="K122" i="39"/>
  <c r="L122" i="39"/>
  <c r="M122" i="39"/>
  <c r="J41" i="39"/>
  <c r="AC41" i="39"/>
  <c r="G109" i="39"/>
  <c r="H34" i="39"/>
  <c r="AA38" i="39"/>
  <c r="S38" i="39"/>
  <c r="AC37" i="39"/>
  <c r="AA37" i="39"/>
  <c r="AB37" i="39"/>
  <c r="AC31" i="39"/>
  <c r="J33" i="39"/>
  <c r="F33" i="39"/>
  <c r="AB33" i="39"/>
  <c r="AB29" i="39"/>
  <c r="S29" i="39"/>
  <c r="F27" i="39"/>
  <c r="H27" i="39"/>
  <c r="F101" i="39"/>
  <c r="G101" i="39"/>
  <c r="J27" i="39"/>
  <c r="J25" i="39"/>
  <c r="AB25" i="39"/>
  <c r="S25" i="39"/>
  <c r="F23" i="39"/>
  <c r="AA23" i="39"/>
  <c r="H23" i="39"/>
  <c r="AB23" i="39"/>
  <c r="F97" i="39"/>
  <c r="G97" i="39"/>
  <c r="J23" i="39"/>
  <c r="AC23" i="39"/>
  <c r="S23" i="39"/>
  <c r="AA21" i="39"/>
  <c r="S15" i="39"/>
  <c r="U14" i="39"/>
  <c r="AB15" i="39"/>
  <c r="S16" i="39"/>
  <c r="W15" i="39"/>
  <c r="AB16" i="39"/>
  <c r="U11" i="39"/>
  <c r="S11" i="39"/>
  <c r="AB17" i="39"/>
  <c r="B66" i="46"/>
  <c r="C27" i="39"/>
  <c r="B54" i="46"/>
  <c r="G1" i="15"/>
  <c r="K1" i="12"/>
  <c r="F3" i="35"/>
  <c r="K7" i="1"/>
  <c r="M7" i="1"/>
  <c r="O7" i="1"/>
  <c r="P7" i="1"/>
  <c r="B7" i="1"/>
  <c r="E7" i="1"/>
  <c r="E19" i="3"/>
  <c r="E104" i="3"/>
  <c r="E18" i="3"/>
  <c r="E514" i="3"/>
  <c r="E24" i="3"/>
  <c r="E109" i="3"/>
  <c r="E564" i="3"/>
  <c r="E322" i="3"/>
  <c r="E371" i="3"/>
  <c r="E267" i="3"/>
  <c r="E108" i="3"/>
  <c r="E224" i="3"/>
  <c r="E111" i="3"/>
  <c r="E54" i="3"/>
  <c r="B16" i="52"/>
  <c r="F29" i="6"/>
  <c r="E509" i="3"/>
  <c r="E17" i="3"/>
  <c r="E26" i="3"/>
  <c r="E567" i="3"/>
  <c r="E512" i="3"/>
  <c r="E312" i="3"/>
  <c r="E35" i="3"/>
  <c r="E277" i="3"/>
  <c r="E508" i="3"/>
  <c r="E66" i="3"/>
  <c r="E74" i="3"/>
  <c r="E288" i="3"/>
  <c r="E412" i="3"/>
  <c r="E343" i="3"/>
  <c r="E253" i="3"/>
  <c r="E283" i="3"/>
  <c r="B7" i="52"/>
  <c r="E29" i="6"/>
  <c r="F30" i="6"/>
  <c r="E20" i="3"/>
  <c r="E358" i="3"/>
  <c r="E377" i="3"/>
  <c r="E511" i="3"/>
  <c r="S6" i="3"/>
  <c r="AB6" i="3"/>
  <c r="E487" i="3"/>
  <c r="E310" i="3"/>
  <c r="E384" i="3"/>
  <c r="E501" i="3"/>
  <c r="E159" i="3"/>
  <c r="E323" i="3"/>
  <c r="E182" i="3"/>
  <c r="E212" i="3"/>
  <c r="E524" i="3"/>
  <c r="E81" i="3"/>
  <c r="E493" i="3"/>
  <c r="E271" i="3"/>
  <c r="E76" i="3"/>
  <c r="E123" i="3"/>
  <c r="E121" i="3"/>
  <c r="E448" i="3"/>
  <c r="E88" i="3"/>
  <c r="E39" i="3"/>
  <c r="E293" i="3"/>
  <c r="E148" i="3"/>
  <c r="E410" i="3"/>
  <c r="E452" i="3"/>
  <c r="E537" i="3"/>
  <c r="E472" i="3"/>
  <c r="B8" i="52"/>
  <c r="AZ13" i="3"/>
  <c r="E5" i="52"/>
  <c r="E10" i="52"/>
  <c r="B9" i="52"/>
  <c r="E476" i="3"/>
  <c r="E535" i="3"/>
  <c r="E381" i="3"/>
  <c r="E427" i="3"/>
  <c r="E278" i="3"/>
  <c r="E94" i="3"/>
  <c r="E534" i="3"/>
  <c r="E376" i="3"/>
  <c r="E387" i="3"/>
  <c r="E294" i="3"/>
  <c r="R6" i="3"/>
  <c r="E21" i="3"/>
  <c r="E125" i="3"/>
  <c r="E64" i="3"/>
  <c r="AH6" i="3"/>
  <c r="E140" i="3"/>
  <c r="P6" i="3"/>
  <c r="E84" i="3"/>
  <c r="AP6" i="3"/>
  <c r="E431" i="3"/>
  <c r="E70" i="3"/>
  <c r="E38" i="3"/>
  <c r="E151" i="3"/>
  <c r="E313" i="3"/>
  <c r="E53" i="3"/>
  <c r="E405" i="3"/>
  <c r="W6"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315" i="3"/>
  <c r="E361" i="3"/>
  <c r="E298" i="3"/>
  <c r="E498" i="3"/>
  <c r="E95" i="3"/>
  <c r="E385" i="3"/>
  <c r="E16" i="3"/>
  <c r="E246" i="3"/>
  <c r="E551" i="3"/>
  <c r="E180" i="3"/>
  <c r="E306" i="3"/>
  <c r="E188" i="3"/>
  <c r="E287" i="3"/>
  <c r="E386" i="3"/>
  <c r="E302" i="3"/>
  <c r="E419" i="3"/>
  <c r="E505" i="3"/>
  <c r="AG6" i="3"/>
  <c r="E105" i="3"/>
  <c r="E517" i="3"/>
  <c r="E480" i="3"/>
  <c r="E393" i="3"/>
  <c r="E107" i="3"/>
  <c r="E261" i="3"/>
  <c r="E560" i="3"/>
  <c r="E469" i="3"/>
  <c r="E27" i="3"/>
  <c r="E185" i="3"/>
  <c r="E468" i="3"/>
  <c r="E142" i="3"/>
  <c r="E435" i="3"/>
  <c r="E423" i="3"/>
  <c r="E199" i="3"/>
  <c r="E225" i="3"/>
  <c r="E187" i="3"/>
  <c r="E409" i="3"/>
  <c r="E193" i="3"/>
  <c r="E156" i="3"/>
  <c r="E86" i="3"/>
  <c r="O11" i="1"/>
  <c r="P11" i="1"/>
  <c r="E32" i="6"/>
  <c r="L19" i="6"/>
  <c r="L27" i="6"/>
  <c r="I4" i="6"/>
  <c r="G3" i="46"/>
  <c r="D101" i="46"/>
  <c r="I6" i="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AO6" i="3"/>
  <c r="E411" i="3"/>
  <c r="E395" i="3"/>
  <c r="E250" i="3"/>
  <c r="AN6" i="3"/>
  <c r="E41" i="3"/>
  <c r="E280" i="3"/>
  <c r="E471" i="3"/>
  <c r="E59" i="3"/>
  <c r="E418" i="3"/>
  <c r="E270" i="3"/>
  <c r="E408" i="3"/>
  <c r="E464" i="3"/>
  <c r="E92" i="3"/>
  <c r="E157" i="3"/>
  <c r="E238" i="3"/>
  <c r="E209" i="3"/>
  <c r="E414" i="3"/>
  <c r="E161" i="3"/>
  <c r="E44" i="3"/>
  <c r="E450" i="3"/>
  <c r="E296" i="3"/>
  <c r="E202" i="3"/>
  <c r="X6" i="3"/>
  <c r="E349" i="3"/>
  <c r="E321" i="3"/>
  <c r="E83" i="3"/>
  <c r="AA6" i="3"/>
  <c r="E186" i="3"/>
  <c r="E127" i="3"/>
  <c r="E124" i="3"/>
  <c r="AD6" i="3"/>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23" i="3"/>
  <c r="E443" i="3"/>
  <c r="E265" i="3"/>
  <c r="E194" i="3"/>
  <c r="AM6" i="3"/>
  <c r="E78" i="3"/>
  <c r="E337" i="3"/>
  <c r="E390" i="3"/>
  <c r="E158" i="3"/>
  <c r="E391"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 i="6"/>
  <c r="E5" i="6"/>
  <c r="E14" i="6"/>
  <c r="E15" i="6"/>
  <c r="E62" i="40"/>
  <c r="E11" i="6"/>
  <c r="O9" i="1"/>
  <c r="P9" i="1"/>
  <c r="M6" i="1"/>
  <c r="Q16" i="1"/>
  <c r="E58" i="39"/>
  <c r="F27" i="6"/>
  <c r="F31" i="6"/>
  <c r="O14" i="1"/>
  <c r="P14" i="1"/>
  <c r="E53" i="40"/>
  <c r="O10" i="1"/>
  <c r="P10" i="1"/>
  <c r="F22" i="46"/>
  <c r="B6" i="52"/>
  <c r="B23" i="52"/>
  <c r="E9" i="52"/>
  <c r="C4" i="4"/>
  <c r="B20" i="55"/>
  <c r="B70" i="63"/>
  <c r="B4" i="52"/>
  <c r="B10" i="52"/>
  <c r="E11" i="52"/>
  <c r="E4" i="52"/>
  <c r="E16" i="52"/>
  <c r="B11" i="52"/>
  <c r="E8" i="52"/>
  <c r="B5" i="52"/>
  <c r="B13" i="52"/>
  <c r="B22" i="52"/>
  <c r="E21" i="52"/>
  <c r="B14" i="52"/>
  <c r="E6" i="52"/>
  <c r="E7" i="52"/>
  <c r="J22" i="44"/>
  <c r="C36" i="44"/>
  <c r="Q73" i="44"/>
  <c r="L60" i="44"/>
  <c r="L59" i="44"/>
  <c r="C4" i="65"/>
  <c r="B39" i="1"/>
  <c r="J58" i="44"/>
  <c r="J56" i="44"/>
  <c r="J59" i="44"/>
  <c r="Q52" i="44"/>
  <c r="J61" i="44"/>
  <c r="Q50" i="44"/>
  <c r="I55" i="44"/>
  <c r="J60" i="44"/>
  <c r="J54" i="44"/>
  <c r="L57" i="44"/>
  <c r="M9" i="44"/>
  <c r="J1" i="65"/>
  <c r="C8" i="44"/>
  <c r="C29" i="44"/>
  <c r="J8" i="44"/>
  <c r="I1" i="65"/>
  <c r="E20" i="46"/>
  <c r="F6" i="15"/>
  <c r="F16" i="15"/>
  <c r="J15" i="15"/>
  <c r="F42" i="15"/>
  <c r="F43" i="15"/>
  <c r="M24" i="15"/>
  <c r="F38" i="15"/>
  <c r="F7" i="15"/>
  <c r="M26" i="15"/>
  <c r="F26" i="15"/>
  <c r="M8" i="15"/>
  <c r="F9" i="15"/>
  <c r="F36" i="15"/>
  <c r="C18" i="44"/>
  <c r="F37" i="15"/>
  <c r="M23" i="15"/>
  <c r="L48" i="15"/>
  <c r="F13" i="15"/>
  <c r="F8" i="15"/>
  <c r="M27" i="15"/>
  <c r="F40" i="15"/>
  <c r="M29" i="15"/>
  <c r="L47" i="15"/>
  <c r="M28" i="15"/>
  <c r="M9" i="15"/>
  <c r="M22" i="15"/>
  <c r="J36" i="15"/>
  <c r="E2" i="65"/>
  <c r="M6" i="15"/>
  <c r="E3" i="65"/>
  <c r="AZ5" i="3"/>
  <c r="E12" i="6"/>
  <c r="E13" i="6"/>
  <c r="E49" i="3"/>
  <c r="E220" i="3"/>
  <c r="E329" i="3"/>
  <c r="E49" i="59"/>
  <c r="P50" i="59"/>
  <c r="D26" i="59"/>
  <c r="C27" i="59"/>
  <c r="C43" i="59"/>
  <c r="D42" i="59"/>
  <c r="AP6" i="1"/>
  <c r="G6" i="1"/>
  <c r="U24" i="36"/>
  <c r="AB24" i="36"/>
  <c r="AA9" i="36"/>
  <c r="S9" i="36"/>
  <c r="AA9" i="33"/>
  <c r="S9" i="33"/>
  <c r="S7" i="21"/>
  <c r="AA7" i="21"/>
  <c r="E10" i="6"/>
  <c r="AC7" i="37"/>
  <c r="V42" i="37"/>
  <c r="I42" i="37"/>
  <c r="W7" i="37"/>
  <c r="AB7" i="34"/>
  <c r="T49" i="34"/>
  <c r="G49" i="34"/>
  <c r="U7" i="34"/>
  <c r="AA7" i="34"/>
  <c r="R49" i="34"/>
  <c r="S7" i="34"/>
  <c r="AC7" i="35"/>
  <c r="V38" i="35"/>
  <c r="I38" i="35"/>
  <c r="W7" i="35"/>
  <c r="K72" i="39"/>
  <c r="L70" i="39"/>
  <c r="K67" i="40"/>
  <c r="L65" i="40"/>
  <c r="AB7" i="36"/>
  <c r="T36" i="36"/>
  <c r="G36" i="36"/>
  <c r="U7" i="36"/>
  <c r="S7" i="36"/>
  <c r="AA7" i="36"/>
  <c r="R36" i="36"/>
  <c r="U7" i="37"/>
  <c r="AB7" i="37"/>
  <c r="T42" i="37"/>
  <c r="G42" i="37"/>
  <c r="E67" i="39"/>
  <c r="U23" i="39"/>
  <c r="D14" i="59"/>
  <c r="C15" i="59"/>
  <c r="D18" i="59"/>
  <c r="C19" i="59"/>
  <c r="D22" i="59"/>
  <c r="C23" i="59"/>
  <c r="BL5" i="3"/>
  <c r="F49" i="59"/>
  <c r="Q50" i="59"/>
  <c r="AB9" i="36"/>
  <c r="U9" i="36"/>
  <c r="U9" i="33"/>
  <c r="AB9" i="33"/>
  <c r="C57" i="59"/>
  <c r="D57" i="59"/>
  <c r="D58" i="59"/>
  <c r="N50" i="59"/>
  <c r="B49" i="59"/>
  <c r="H7" i="21"/>
  <c r="J7" i="21"/>
  <c r="S7" i="35"/>
  <c r="AA7" i="35"/>
  <c r="R38" i="35"/>
  <c r="J7" i="34"/>
  <c r="AB7" i="35"/>
  <c r="T38" i="35"/>
  <c r="G38" i="35"/>
  <c r="U7" i="35"/>
  <c r="W7" i="36"/>
  <c r="AC7" i="36"/>
  <c r="V36" i="36"/>
  <c r="I36" i="36"/>
  <c r="AA7" i="37"/>
  <c r="R42" i="37"/>
  <c r="S7" i="37"/>
  <c r="W23" i="21"/>
  <c r="AC23" i="21"/>
  <c r="AC10" i="21"/>
  <c r="W10" i="21"/>
  <c r="U10" i="21"/>
  <c r="AB10" i="21"/>
  <c r="W41" i="39"/>
  <c r="AC19" i="21"/>
  <c r="U12" i="21"/>
  <c r="AB12" i="21"/>
  <c r="AB15" i="21"/>
  <c r="AA19" i="21"/>
  <c r="S19" i="21"/>
  <c r="S37" i="21"/>
  <c r="AA37" i="21"/>
  <c r="R48" i="21"/>
  <c r="E48" i="21"/>
  <c r="AC37" i="21"/>
  <c r="U37" i="21"/>
  <c r="AB37" i="21"/>
  <c r="AA45" i="21"/>
  <c r="S45" i="21"/>
  <c r="U45" i="21"/>
  <c r="AB45" i="21"/>
  <c r="AC11" i="21"/>
  <c r="U45" i="39"/>
  <c r="AB45" i="39"/>
  <c r="AB47" i="39"/>
  <c r="U47" i="39"/>
  <c r="W45" i="39"/>
  <c r="AC45" i="39"/>
  <c r="AC47" i="39"/>
  <c r="W47" i="39"/>
  <c r="AA43" i="39"/>
  <c r="S43" i="39"/>
  <c r="AC43" i="39"/>
  <c r="W43" i="39"/>
  <c r="AB43" i="39"/>
  <c r="U43" i="39"/>
  <c r="AB41" i="39"/>
  <c r="U41" i="39"/>
  <c r="AB34" i="39"/>
  <c r="U34" i="39"/>
  <c r="H109" i="39"/>
  <c r="I109" i="39"/>
  <c r="J109" i="39"/>
  <c r="K109" i="39"/>
  <c r="L109" i="39"/>
  <c r="M109" i="39"/>
  <c r="J34" i="39"/>
  <c r="F34" i="39"/>
  <c r="S33" i="39"/>
  <c r="AA33" i="39"/>
  <c r="W33" i="39"/>
  <c r="AC33" i="39"/>
  <c r="W27" i="39"/>
  <c r="AC27" i="39"/>
  <c r="U27" i="39"/>
  <c r="AB27" i="39"/>
  <c r="AA27" i="39"/>
  <c r="S27" i="39"/>
  <c r="AC25" i="39"/>
  <c r="W25" i="39"/>
  <c r="W23" i="39"/>
  <c r="Q72" i="15"/>
  <c r="F63" i="15"/>
  <c r="M7" i="15"/>
  <c r="J6" i="15"/>
  <c r="F49" i="15"/>
  <c r="L59" i="15"/>
  <c r="Q62" i="15"/>
  <c r="L58" i="15"/>
  <c r="Q74" i="15"/>
  <c r="F50" i="15"/>
  <c r="F65" i="15"/>
  <c r="C6" i="15"/>
  <c r="F70" i="15"/>
  <c r="J57" i="15"/>
  <c r="J55" i="15"/>
  <c r="J58" i="15"/>
  <c r="Q51" i="15"/>
  <c r="J53" i="15"/>
  <c r="F1" i="15"/>
  <c r="I54" i="15"/>
  <c r="L56" i="15"/>
  <c r="C27" i="15"/>
  <c r="F67" i="15"/>
  <c r="F64" i="15"/>
  <c r="G16" i="1"/>
  <c r="H12" i="40"/>
  <c r="AP16" i="1"/>
  <c r="F22" i="11"/>
  <c r="H16" i="1"/>
  <c r="H22" i="46"/>
  <c r="B113" i="46"/>
  <c r="I115" i="46"/>
  <c r="J115" i="46"/>
  <c r="K115" i="46"/>
  <c r="L115" i="46"/>
  <c r="M115" i="46"/>
  <c r="C101" i="46"/>
  <c r="C103" i="46"/>
  <c r="K15" i="1"/>
  <c r="K16" i="1"/>
  <c r="E30" i="6"/>
  <c r="E27" i="6"/>
  <c r="E63" i="39"/>
  <c r="E58" i="40"/>
  <c r="E66" i="39"/>
  <c r="E61" i="40"/>
  <c r="E16" i="6"/>
  <c r="C23" i="46"/>
  <c r="C21" i="46"/>
  <c r="F101" i="46"/>
  <c r="AB11" i="46"/>
  <c r="AB13" i="46"/>
  <c r="AE11" i="46"/>
  <c r="AE13" i="46"/>
  <c r="AJ11" i="46"/>
  <c r="AJ13" i="46"/>
  <c r="S6" i="46"/>
  <c r="AF11" i="46"/>
  <c r="AF13" i="46"/>
  <c r="S2" i="46"/>
  <c r="AI11" i="46"/>
  <c r="AI13" i="46"/>
  <c r="S3" i="46"/>
  <c r="AD11" i="46"/>
  <c r="AD13" i="46"/>
  <c r="S4" i="46"/>
  <c r="Y11" i="46"/>
  <c r="Y13" i="46"/>
  <c r="AG11" i="46"/>
  <c r="AG13" i="46"/>
  <c r="AC11" i="46"/>
  <c r="AC13" i="46"/>
  <c r="N101" i="46"/>
  <c r="K101" i="46"/>
  <c r="Z7" i="46"/>
  <c r="M101" i="46"/>
  <c r="I101" i="46"/>
  <c r="J101" i="46"/>
  <c r="G101" i="46"/>
  <c r="E22" i="46"/>
  <c r="E101" i="46"/>
  <c r="S5" i="46"/>
  <c r="S7" i="46"/>
  <c r="Z11" i="46"/>
  <c r="Z13" i="46"/>
  <c r="L101" i="46"/>
  <c r="AA11" i="46"/>
  <c r="AA13" i="46"/>
  <c r="AH11" i="46"/>
  <c r="AH13" i="46"/>
  <c r="H101" i="46"/>
  <c r="J22" i="46"/>
  <c r="G22" i="46"/>
  <c r="N104" i="45"/>
  <c r="K20" i="6"/>
  <c r="D21" i="12"/>
  <c r="C21" i="12"/>
  <c r="D12" i="11"/>
  <c r="C12" i="11"/>
  <c r="AC6" i="3"/>
  <c r="H6" i="3"/>
  <c r="D22" i="46"/>
  <c r="I117" i="46"/>
  <c r="J117" i="46"/>
  <c r="K117" i="46"/>
  <c r="L117" i="46"/>
  <c r="M117" i="46"/>
  <c r="D116" i="46"/>
  <c r="E116" i="46"/>
  <c r="F116" i="46"/>
  <c r="G116" i="46"/>
  <c r="H116" i="46"/>
  <c r="D118" i="46"/>
  <c r="E118" i="46"/>
  <c r="F118" i="46"/>
  <c r="B116" i="46"/>
  <c r="C116" i="46"/>
  <c r="B118" i="46"/>
  <c r="C118" i="46"/>
  <c r="G118" i="46"/>
  <c r="H118" i="46"/>
  <c r="C105" i="46"/>
  <c r="C109" i="46"/>
  <c r="C104" i="46"/>
  <c r="D103" i="46"/>
  <c r="D105" i="46"/>
  <c r="D107" i="46"/>
  <c r="D109" i="46"/>
  <c r="D102" i="46"/>
  <c r="D104" i="46"/>
  <c r="D106" i="46"/>
  <c r="F33" i="12"/>
  <c r="C34" i="12"/>
  <c r="D33" i="12"/>
  <c r="F24" i="43"/>
  <c r="C26" i="43"/>
  <c r="D24" i="43"/>
  <c r="F18" i="11"/>
  <c r="C18" i="11"/>
  <c r="O6" i="1"/>
  <c r="O16" i="1"/>
  <c r="C15" i="43"/>
  <c r="P6" i="1"/>
  <c r="M16" i="1"/>
  <c r="H12" i="39"/>
  <c r="L47" i="44"/>
  <c r="B40" i="1"/>
  <c r="F17" i="11"/>
  <c r="C17" i="11"/>
  <c r="P17" i="46"/>
  <c r="N17" i="46"/>
  <c r="M17" i="46"/>
  <c r="O17" i="46"/>
  <c r="F11" i="15"/>
  <c r="F13" i="44"/>
  <c r="C12" i="44"/>
  <c r="C7" i="44"/>
  <c r="M11" i="15"/>
  <c r="J10" i="15"/>
  <c r="M13" i="44"/>
  <c r="J12" i="44"/>
  <c r="J7" i="44"/>
  <c r="Q75" i="44"/>
  <c r="Q62" i="44"/>
  <c r="F1" i="44"/>
  <c r="Q54" i="44"/>
  <c r="Q76" i="44"/>
  <c r="Q63" i="44"/>
  <c r="C16" i="15"/>
  <c r="AE7" i="1"/>
  <c r="I40" i="36"/>
  <c r="J40" i="36"/>
  <c r="AC7" i="34"/>
  <c r="V49" i="34"/>
  <c r="I49" i="34"/>
  <c r="W7" i="34"/>
  <c r="AB7" i="21"/>
  <c r="U7" i="21"/>
  <c r="Q48" i="59"/>
  <c r="Q49" i="59"/>
  <c r="G41" i="36"/>
  <c r="H41" i="36"/>
  <c r="G40" i="36"/>
  <c r="H40" i="36"/>
  <c r="I42" i="35"/>
  <c r="J42" i="35"/>
  <c r="E49" i="34"/>
  <c r="R50" i="34"/>
  <c r="G53" i="34"/>
  <c r="H53" i="34"/>
  <c r="G54" i="34"/>
  <c r="H54" i="34"/>
  <c r="I46" i="37"/>
  <c r="J46" i="37"/>
  <c r="D27" i="59"/>
  <c r="T27" i="59"/>
  <c r="E64" i="39"/>
  <c r="E59" i="40"/>
  <c r="E42" i="37"/>
  <c r="R43" i="37"/>
  <c r="G42" i="35"/>
  <c r="H42" i="35"/>
  <c r="G43" i="35"/>
  <c r="H43" i="35"/>
  <c r="E38" i="35"/>
  <c r="R39" i="35"/>
  <c r="W7" i="21"/>
  <c r="AC7" i="21"/>
  <c r="V48" i="21"/>
  <c r="I48" i="21"/>
  <c r="N48" i="59"/>
  <c r="N49" i="59"/>
  <c r="D23" i="59"/>
  <c r="M20" i="46"/>
  <c r="C19" i="46"/>
  <c r="T23" i="59"/>
  <c r="D19" i="59"/>
  <c r="T19" i="59"/>
  <c r="D15" i="59"/>
  <c r="T15" i="59"/>
  <c r="G47" i="37"/>
  <c r="H47" i="37"/>
  <c r="G46" i="37"/>
  <c r="H46" i="37"/>
  <c r="E36" i="36"/>
  <c r="R37" i="36"/>
  <c r="M65" i="40"/>
  <c r="L67" i="40"/>
  <c r="L72" i="39"/>
  <c r="M70" i="39"/>
  <c r="D43" i="59"/>
  <c r="T43" i="59"/>
  <c r="P48" i="59"/>
  <c r="P49" i="59"/>
  <c r="E65" i="39"/>
  <c r="E60" i="40"/>
  <c r="AY6" i="3"/>
  <c r="E3" i="6"/>
  <c r="T48" i="21"/>
  <c r="G48" i="21"/>
  <c r="G52" i="21"/>
  <c r="H52" i="21"/>
  <c r="E52" i="21"/>
  <c r="F52" i="21"/>
  <c r="Q75" i="15"/>
  <c r="J5" i="15"/>
  <c r="J24" i="15"/>
  <c r="C19" i="11"/>
  <c r="C20" i="11"/>
  <c r="C21" i="11"/>
  <c r="C22" i="11"/>
  <c r="C23" i="11"/>
  <c r="B2" i="11"/>
  <c r="F12" i="40"/>
  <c r="AA12" i="40"/>
  <c r="J12" i="40"/>
  <c r="AC12" i="40"/>
  <c r="AC34" i="39"/>
  <c r="W34" i="39"/>
  <c r="AA34" i="39"/>
  <c r="S34" i="39"/>
  <c r="Q53" i="15"/>
  <c r="Q61" i="15"/>
  <c r="C48" i="15"/>
  <c r="I118" i="46"/>
  <c r="J118" i="46"/>
  <c r="K118" i="46"/>
  <c r="L118" i="46"/>
  <c r="M118" i="46"/>
  <c r="I116" i="46"/>
  <c r="J116" i="46"/>
  <c r="K116" i="46"/>
  <c r="L116" i="46"/>
  <c r="M116" i="46"/>
  <c r="B117" i="46"/>
  <c r="C117" i="46"/>
  <c r="B115" i="46"/>
  <c r="C115" i="46"/>
  <c r="D117" i="46"/>
  <c r="E117" i="46"/>
  <c r="F117" i="46"/>
  <c r="G117" i="46"/>
  <c r="H117" i="46"/>
  <c r="D115" i="46"/>
  <c r="E115" i="46"/>
  <c r="M20" i="6"/>
  <c r="I20" i="6"/>
  <c r="S20" i="6"/>
  <c r="S7" i="1"/>
  <c r="J12" i="39"/>
  <c r="W12" i="39"/>
  <c r="F12" i="39"/>
  <c r="S12" i="39"/>
  <c r="C106" i="46"/>
  <c r="C102" i="46"/>
  <c r="C107" i="46"/>
  <c r="K19" i="6"/>
  <c r="K21" i="6"/>
  <c r="M21" i="6"/>
  <c r="K23" i="6"/>
  <c r="M23" i="6"/>
  <c r="I23" i="6"/>
  <c r="S23" i="6"/>
  <c r="K24" i="6"/>
  <c r="M24" i="6"/>
  <c r="I24" i="6"/>
  <c r="S24" i="6"/>
  <c r="K25" i="6"/>
  <c r="M25" i="6"/>
  <c r="I25" i="6"/>
  <c r="S25" i="6"/>
  <c r="K22" i="6"/>
  <c r="M22" i="6"/>
  <c r="I22" i="6"/>
  <c r="E6" i="3"/>
  <c r="E31" i="6"/>
  <c r="K26" i="6"/>
  <c r="M26" i="6"/>
  <c r="I26" i="6"/>
  <c r="S26" i="6"/>
  <c r="L104" i="46"/>
  <c r="L102" i="46"/>
  <c r="L106" i="46"/>
  <c r="L109" i="46"/>
  <c r="L103" i="46"/>
  <c r="L107" i="46"/>
  <c r="L105" i="46"/>
  <c r="E102" i="46"/>
  <c r="E103" i="46"/>
  <c r="E107" i="46"/>
  <c r="E109" i="46"/>
  <c r="E105" i="46"/>
  <c r="E104" i="46"/>
  <c r="E106" i="46"/>
  <c r="G104" i="46"/>
  <c r="G103" i="46"/>
  <c r="G106" i="46"/>
  <c r="G107" i="46"/>
  <c r="G109" i="46"/>
  <c r="G102" i="46"/>
  <c r="G105" i="46"/>
  <c r="I105" i="46"/>
  <c r="I104" i="46"/>
  <c r="I103" i="46"/>
  <c r="I106" i="46"/>
  <c r="I102" i="46"/>
  <c r="I107" i="46"/>
  <c r="I109" i="46"/>
  <c r="N103" i="46"/>
  <c r="N104" i="46"/>
  <c r="N106" i="46"/>
  <c r="N105" i="46"/>
  <c r="N107" i="46"/>
  <c r="N109" i="46"/>
  <c r="N102" i="46"/>
  <c r="F102" i="46"/>
  <c r="F105" i="46"/>
  <c r="F103" i="46"/>
  <c r="F107" i="46"/>
  <c r="F109" i="46"/>
  <c r="F104" i="46"/>
  <c r="F106" i="46"/>
  <c r="H104" i="46"/>
  <c r="H102" i="46"/>
  <c r="H103" i="46"/>
  <c r="H107" i="46"/>
  <c r="H106" i="46"/>
  <c r="H109" i="46"/>
  <c r="H105" i="46"/>
  <c r="J107" i="46"/>
  <c r="J109" i="46"/>
  <c r="J104" i="46"/>
  <c r="J105" i="46"/>
  <c r="J103" i="46"/>
  <c r="J106" i="46"/>
  <c r="J102" i="46"/>
  <c r="M104" i="46"/>
  <c r="M103" i="46"/>
  <c r="M105" i="46"/>
  <c r="M102" i="46"/>
  <c r="M106" i="46"/>
  <c r="M107" i="46"/>
  <c r="M109" i="46"/>
  <c r="K107" i="46"/>
  <c r="K109" i="46"/>
  <c r="K105" i="46"/>
  <c r="K102" i="46"/>
  <c r="K106" i="46"/>
  <c r="K104" i="46"/>
  <c r="K103" i="46"/>
  <c r="I21" i="6"/>
  <c r="AB12" i="39"/>
  <c r="U12" i="39"/>
  <c r="W12" i="40"/>
  <c r="L16" i="1"/>
  <c r="C13" i="43"/>
  <c r="N16" i="1"/>
  <c r="C29" i="43"/>
  <c r="F115" i="46"/>
  <c r="G115" i="46"/>
  <c r="H115" i="46"/>
  <c r="AC12" i="39"/>
  <c r="U12" i="40"/>
  <c r="AB12" i="40"/>
  <c r="C15" i="12"/>
  <c r="P16" i="1"/>
  <c r="C13" i="12"/>
  <c r="J20" i="44"/>
  <c r="J26" i="44"/>
  <c r="J28" i="44"/>
  <c r="J31" i="44"/>
  <c r="C40" i="44"/>
  <c r="C34" i="44"/>
  <c r="C52" i="15"/>
  <c r="C10" i="15"/>
  <c r="C5" i="15"/>
  <c r="F24" i="15"/>
  <c r="C24" i="15"/>
  <c r="F26" i="44"/>
  <c r="C26" i="44"/>
  <c r="F26" i="12"/>
  <c r="C27" i="12"/>
  <c r="D26" i="12"/>
  <c r="C32" i="12"/>
  <c r="D30" i="12"/>
  <c r="F21" i="43"/>
  <c r="C17" i="15"/>
  <c r="L52" i="44"/>
  <c r="F41" i="15"/>
  <c r="C33" i="46"/>
  <c r="C35" i="46"/>
  <c r="C36" i="46"/>
  <c r="C34" i="46"/>
  <c r="T12" i="46"/>
  <c r="V12" i="46"/>
  <c r="C39" i="46"/>
  <c r="T9" i="46"/>
  <c r="V9" i="46"/>
  <c r="T8" i="46"/>
  <c r="V8" i="46"/>
  <c r="T15" i="46"/>
  <c r="V15" i="46"/>
  <c r="T13" i="46"/>
  <c r="V13" i="46"/>
  <c r="C38" i="46"/>
  <c r="T11" i="46"/>
  <c r="V11" i="46"/>
  <c r="T10" i="46"/>
  <c r="V10" i="46"/>
  <c r="C37" i="46"/>
  <c r="T16" i="46"/>
  <c r="V16" i="46"/>
  <c r="T14" i="46"/>
  <c r="V14" i="46"/>
  <c r="C29" i="46"/>
  <c r="T5" i="46"/>
  <c r="V5" i="46"/>
  <c r="T7" i="46"/>
  <c r="V7" i="46"/>
  <c r="T3" i="46"/>
  <c r="V3" i="46"/>
  <c r="T6" i="46"/>
  <c r="V6" i="46"/>
  <c r="T4" i="46"/>
  <c r="V4" i="46"/>
  <c r="T2" i="46"/>
  <c r="V2" i="46"/>
  <c r="I52" i="21"/>
  <c r="J52" i="21"/>
  <c r="I53" i="21"/>
  <c r="J53" i="21"/>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N65" i="40"/>
  <c r="N67" i="40"/>
  <c r="J9" i="40"/>
  <c r="M67" i="40"/>
  <c r="E40" i="36"/>
  <c r="F40" i="36"/>
  <c r="E41" i="36"/>
  <c r="F41" i="36"/>
  <c r="E43" i="35"/>
  <c r="F43" i="35"/>
  <c r="E42" i="35"/>
  <c r="F42" i="35"/>
  <c r="E46" i="37"/>
  <c r="F46" i="37"/>
  <c r="E47" i="37"/>
  <c r="F47" i="37"/>
  <c r="J18" i="15"/>
  <c r="S12" i="40"/>
  <c r="D16" i="43"/>
  <c r="C16" i="43"/>
  <c r="D10" i="11"/>
  <c r="E6" i="6"/>
  <c r="D46" i="9"/>
  <c r="L38" i="9"/>
  <c r="B14" i="66"/>
  <c r="B1" i="66"/>
  <c r="C21" i="4"/>
  <c r="O5" i="54"/>
  <c r="B45" i="63"/>
  <c r="D16" i="12"/>
  <c r="D45" i="9"/>
  <c r="N70" i="39"/>
  <c r="N72" i="39"/>
  <c r="H9" i="39"/>
  <c r="M72" i="39"/>
  <c r="F9" i="39"/>
  <c r="C37" i="36"/>
  <c r="B3" i="36"/>
  <c r="B2" i="36"/>
  <c r="C36" i="36"/>
  <c r="C38" i="35"/>
  <c r="C39" i="35"/>
  <c r="B3" i="35"/>
  <c r="B2" i="35"/>
  <c r="C43" i="37"/>
  <c r="B3" i="37"/>
  <c r="B2" i="37"/>
  <c r="C42" i="37"/>
  <c r="C50" i="34"/>
  <c r="B3" i="34"/>
  <c r="B2" i="34"/>
  <c r="C49" i="34"/>
  <c r="I43" i="35"/>
  <c r="J43" i="35"/>
  <c r="H9" i="40"/>
  <c r="I41" i="36"/>
  <c r="J41" i="36"/>
  <c r="E68" i="39"/>
  <c r="I47" i="37"/>
  <c r="J47" i="37"/>
  <c r="E54" i="34"/>
  <c r="F54" i="34"/>
  <c r="E53" i="34"/>
  <c r="F53" i="34"/>
  <c r="I54" i="34"/>
  <c r="J54" i="34"/>
  <c r="I53" i="34"/>
  <c r="J53" i="34"/>
  <c r="F68" i="15"/>
  <c r="R49" i="21"/>
  <c r="C49" i="21"/>
  <c r="B3" i="21"/>
  <c r="G53" i="21"/>
  <c r="H53" i="21"/>
  <c r="E53" i="21"/>
  <c r="F53" i="21"/>
  <c r="J26" i="15"/>
  <c r="J29" i="15"/>
  <c r="AA12" i="39"/>
  <c r="C47" i="15"/>
  <c r="C59" i="15"/>
  <c r="M19" i="6"/>
  <c r="S6" i="1"/>
  <c r="K27" i="6"/>
  <c r="H26" i="6"/>
  <c r="S22" i="6"/>
  <c r="H22" i="6"/>
  <c r="H25" i="6"/>
  <c r="C14" i="12"/>
  <c r="C17" i="12"/>
  <c r="D113" i="46"/>
  <c r="S21" i="6"/>
  <c r="H21" i="6"/>
  <c r="C14" i="43"/>
  <c r="C17" i="43"/>
  <c r="Q69" i="44"/>
  <c r="L58" i="44"/>
  <c r="L61" i="44"/>
  <c r="B4" i="11"/>
  <c r="B5" i="11"/>
  <c r="B3" i="11"/>
  <c r="C65" i="15"/>
  <c r="C23" i="43"/>
  <c r="D21" i="43"/>
  <c r="C32" i="15"/>
  <c r="C38" i="15"/>
  <c r="Q67" i="44"/>
  <c r="Q49" i="44"/>
  <c r="Q55" i="44"/>
  <c r="Q58" i="44"/>
  <c r="S9" i="39"/>
  <c r="AA9" i="39"/>
  <c r="AB9" i="39"/>
  <c r="U9" i="39"/>
  <c r="D19" i="12"/>
  <c r="C19" i="12"/>
  <c r="C16" i="12"/>
  <c r="C7" i="66"/>
  <c r="C8" i="66"/>
  <c r="D13" i="11"/>
  <c r="C13" i="11"/>
  <c r="D22" i="12"/>
  <c r="C22" i="12"/>
  <c r="C20" i="12"/>
  <c r="J9" i="39"/>
  <c r="H23" i="6"/>
  <c r="C22" i="4"/>
  <c r="D26" i="6"/>
  <c r="R26" i="6"/>
  <c r="D12" i="6"/>
  <c r="D29" i="6"/>
  <c r="F45" i="9"/>
  <c r="E46" i="9"/>
  <c r="D19" i="6"/>
  <c r="D25" i="6"/>
  <c r="R25" i="6"/>
  <c r="D9" i="6"/>
  <c r="D28" i="6"/>
  <c r="D30" i="6"/>
  <c r="D15" i="6"/>
  <c r="H20" i="6"/>
  <c r="D6" i="6"/>
  <c r="D13" i="6"/>
  <c r="H24" i="6"/>
  <c r="K38" i="9"/>
  <c r="C14" i="66"/>
  <c r="B2" i="66"/>
  <c r="D24" i="6"/>
  <c r="R24" i="6"/>
  <c r="D22" i="6"/>
  <c r="R22" i="6"/>
  <c r="D23" i="6"/>
  <c r="R23" i="6"/>
  <c r="E45" i="9"/>
  <c r="F46" i="9"/>
  <c r="E63" i="40"/>
  <c r="D21" i="6"/>
  <c r="D10" i="6"/>
  <c r="D5" i="6"/>
  <c r="D20" i="6"/>
  <c r="R20" i="6"/>
  <c r="R7" i="1"/>
  <c r="D11" i="6"/>
  <c r="D14" i="6"/>
  <c r="D8" i="6"/>
  <c r="D16" i="6"/>
  <c r="E29" i="46"/>
  <c r="C30" i="46"/>
  <c r="E30" i="46"/>
  <c r="G38" i="46"/>
  <c r="I38" i="46"/>
  <c r="E38" i="46"/>
  <c r="G36" i="46"/>
  <c r="I36" i="46"/>
  <c r="E36" i="46"/>
  <c r="E33" i="46"/>
  <c r="G33" i="46"/>
  <c r="I33" i="46"/>
  <c r="AB9" i="40"/>
  <c r="T44" i="40"/>
  <c r="G44" i="40"/>
  <c r="U9" i="40"/>
  <c r="AC9" i="40"/>
  <c r="V44" i="40"/>
  <c r="I44" i="40"/>
  <c r="W9" i="40"/>
  <c r="F9" i="40"/>
  <c r="G37" i="46"/>
  <c r="I37" i="46"/>
  <c r="E37" i="46"/>
  <c r="E39" i="46"/>
  <c r="G39" i="46"/>
  <c r="I39" i="46"/>
  <c r="G34" i="46"/>
  <c r="I34" i="46"/>
  <c r="E34" i="46"/>
  <c r="G35" i="46"/>
  <c r="I35" i="46"/>
  <c r="E35" i="46"/>
  <c r="B2" i="21"/>
  <c r="C10" i="12"/>
  <c r="C8" i="12"/>
  <c r="C48" i="21"/>
  <c r="S16" i="1"/>
  <c r="C18" i="43"/>
  <c r="C19" i="43"/>
  <c r="C25" i="43"/>
  <c r="C24" i="43"/>
  <c r="I19" i="6"/>
  <c r="M27" i="6"/>
  <c r="C18" i="12"/>
  <c r="C23" i="12"/>
  <c r="R21" i="6"/>
  <c r="Q59" i="44"/>
  <c r="Q64" i="44"/>
  <c r="Q68" i="44"/>
  <c r="Q77" i="44"/>
  <c r="M21" i="15"/>
  <c r="F35" i="15"/>
  <c r="F7" i="67"/>
  <c r="E4" i="67"/>
  <c r="C34" i="15"/>
  <c r="F62" i="15"/>
  <c r="C61" i="15"/>
  <c r="J20" i="15"/>
  <c r="C27" i="46"/>
  <c r="D27" i="6"/>
  <c r="D31" i="6"/>
  <c r="A6" i="64"/>
  <c r="A20" i="64"/>
  <c r="N5" i="54"/>
  <c r="B43" i="63"/>
  <c r="A6" i="51"/>
  <c r="B7" i="63"/>
  <c r="A20" i="51"/>
  <c r="B15" i="63"/>
  <c r="AC9" i="39"/>
  <c r="W9" i="39"/>
  <c r="AA9" i="40"/>
  <c r="R44" i="40"/>
  <c r="S9" i="40"/>
  <c r="I48" i="40"/>
  <c r="J48" i="40"/>
  <c r="G49" i="40"/>
  <c r="H49" i="40"/>
  <c r="G48" i="40"/>
  <c r="H48" i="40"/>
  <c r="C26" i="46"/>
  <c r="D7" i="66"/>
  <c r="D8" i="66"/>
  <c r="T12" i="1"/>
  <c r="T13" i="1"/>
  <c r="T8" i="1"/>
  <c r="T7" i="1"/>
  <c r="T9" i="1"/>
  <c r="T10" i="1"/>
  <c r="T11" i="1"/>
  <c r="S19" i="6"/>
  <c r="S27" i="6"/>
  <c r="H19" i="6"/>
  <c r="I27" i="6"/>
  <c r="T6" i="1"/>
  <c r="F13" i="39"/>
  <c r="J13" i="39"/>
  <c r="H13" i="39"/>
  <c r="C22" i="43"/>
  <c r="C21" i="43"/>
  <c r="C28" i="43"/>
  <c r="C30" i="43"/>
  <c r="C32" i="43"/>
  <c r="B2" i="43"/>
  <c r="C14" i="15"/>
  <c r="E7" i="67"/>
  <c r="C16" i="44"/>
  <c r="E3" i="67"/>
  <c r="B2" i="46"/>
  <c r="E44" i="40"/>
  <c r="R45" i="40"/>
  <c r="I5" i="6"/>
  <c r="I6" i="6"/>
  <c r="T16" i="1"/>
  <c r="C20" i="44"/>
  <c r="C17" i="44"/>
  <c r="C15" i="15"/>
  <c r="C18" i="15"/>
  <c r="R19" i="6"/>
  <c r="H27" i="6"/>
  <c r="AC13" i="39"/>
  <c r="V49" i="39"/>
  <c r="I49" i="39"/>
  <c r="W13" i="39"/>
  <c r="U13" i="39"/>
  <c r="AB13" i="39"/>
  <c r="T49" i="39"/>
  <c r="G49" i="39"/>
  <c r="S13" i="39"/>
  <c r="AA13" i="39"/>
  <c r="R49" i="39"/>
  <c r="B3" i="43"/>
  <c r="B5" i="43"/>
  <c r="B4" i="43"/>
  <c r="B7" i="67"/>
  <c r="B2" i="67"/>
  <c r="C45" i="40"/>
  <c r="C44" i="40"/>
  <c r="D4" i="46"/>
  <c r="B3" i="46"/>
  <c r="B4" i="46"/>
  <c r="E48" i="40"/>
  <c r="F48" i="40"/>
  <c r="E49" i="40"/>
  <c r="F49" i="40"/>
  <c r="I49" i="40"/>
  <c r="J49" i="40"/>
  <c r="C21" i="44"/>
  <c r="C22" i="44"/>
  <c r="C28" i="44"/>
  <c r="C19" i="15"/>
  <c r="C20" i="15"/>
  <c r="C26" i="15"/>
  <c r="R6" i="1"/>
  <c r="R16" i="1"/>
  <c r="R27" i="6"/>
  <c r="I53" i="39"/>
  <c r="J53" i="39"/>
  <c r="E49" i="39"/>
  <c r="R50" i="39"/>
  <c r="G54" i="39"/>
  <c r="H54" i="39"/>
  <c r="G53" i="39"/>
  <c r="H53" i="39"/>
  <c r="B61" i="40"/>
  <c r="F61" i="40"/>
  <c r="B54" i="40"/>
  <c r="F54" i="40"/>
  <c r="B53" i="40"/>
  <c r="F53" i="40"/>
  <c r="B56" i="40"/>
  <c r="F56" i="40"/>
  <c r="B58" i="40"/>
  <c r="F58" i="40"/>
  <c r="B55" i="40"/>
  <c r="F55" i="40"/>
  <c r="B57" i="40"/>
  <c r="F57" i="40"/>
  <c r="B60" i="40"/>
  <c r="F60" i="40"/>
  <c r="B59" i="40"/>
  <c r="F59" i="40"/>
  <c r="B62" i="40"/>
  <c r="F62" i="40"/>
  <c r="F63" i="40"/>
  <c r="B2" i="40"/>
  <c r="B4" i="67"/>
  <c r="B3" i="67"/>
  <c r="C23" i="15"/>
  <c r="C29" i="15"/>
  <c r="J19" i="15"/>
  <c r="J17" i="15"/>
  <c r="C25" i="44"/>
  <c r="C31" i="44"/>
  <c r="E53" i="39"/>
  <c r="F53" i="39"/>
  <c r="E54" i="39"/>
  <c r="F54" i="39"/>
  <c r="C49" i="39"/>
  <c r="C50" i="39"/>
  <c r="I54" i="39"/>
  <c r="J54" i="39"/>
  <c r="B5" i="40"/>
  <c r="B3" i="40"/>
  <c r="B4" i="40"/>
  <c r="C36" i="15"/>
  <c r="C13" i="15"/>
  <c r="Q71" i="15"/>
  <c r="J59" i="15"/>
  <c r="J60" i="15"/>
  <c r="J14" i="15"/>
  <c r="J22" i="15"/>
  <c r="C56" i="15"/>
  <c r="Q50" i="15"/>
  <c r="C33" i="15"/>
  <c r="C31" i="15"/>
  <c r="J13" i="15"/>
  <c r="J23" i="15"/>
  <c r="J21" i="44"/>
  <c r="J19" i="44"/>
  <c r="J16" i="44"/>
  <c r="C15" i="44"/>
  <c r="Q51" i="44"/>
  <c r="C38" i="44"/>
  <c r="C35" i="44"/>
  <c r="C33" i="44"/>
  <c r="B58" i="39"/>
  <c r="F58" i="39"/>
  <c r="B61" i="39"/>
  <c r="F61" i="39"/>
  <c r="B65" i="39"/>
  <c r="F65" i="39"/>
  <c r="B60" i="39"/>
  <c r="F60" i="39"/>
  <c r="B64" i="39"/>
  <c r="F64" i="39"/>
  <c r="B59" i="39"/>
  <c r="F59" i="39"/>
  <c r="B62" i="39"/>
  <c r="F62" i="39"/>
  <c r="B67" i="39"/>
  <c r="F67" i="39"/>
  <c r="B63" i="39"/>
  <c r="F63" i="39"/>
  <c r="B66" i="39"/>
  <c r="F66" i="39"/>
  <c r="J35" i="15"/>
  <c r="J16" i="15"/>
  <c r="J25" i="15"/>
  <c r="C37" i="15"/>
  <c r="C30" i="15"/>
  <c r="C39" i="15"/>
  <c r="J39" i="15"/>
  <c r="J40" i="15"/>
  <c r="C55" i="15"/>
  <c r="C64" i="15"/>
  <c r="Q49" i="15"/>
  <c r="L46" i="15"/>
  <c r="C63" i="15"/>
  <c r="C60" i="15"/>
  <c r="C58" i="15"/>
  <c r="J24" i="44"/>
  <c r="J15" i="44"/>
  <c r="J25" i="44"/>
  <c r="Q72" i="44"/>
  <c r="C43" i="44"/>
  <c r="C39" i="44"/>
  <c r="C32" i="44"/>
  <c r="C42" i="44"/>
  <c r="F68" i="39"/>
  <c r="B2" i="39"/>
  <c r="D19" i="9"/>
  <c r="L51" i="15"/>
  <c r="L57" i="15"/>
  <c r="L60" i="15"/>
  <c r="Q68" i="15"/>
  <c r="Q70" i="15"/>
  <c r="Q69" i="15"/>
  <c r="C40" i="15"/>
  <c r="C57" i="15"/>
  <c r="C66" i="15"/>
  <c r="C67" i="15"/>
  <c r="C44" i="44"/>
  <c r="C45" i="44"/>
  <c r="B2" i="44"/>
  <c r="Q71" i="44"/>
  <c r="Q70" i="44"/>
  <c r="J18" i="44"/>
  <c r="J27" i="44"/>
  <c r="L44" i="9"/>
  <c r="B3" i="39"/>
  <c r="B5" i="39"/>
  <c r="B4" i="39"/>
  <c r="D21" i="9"/>
  <c r="D20" i="9"/>
  <c r="Q66" i="15"/>
  <c r="Q57" i="15"/>
  <c r="Q48" i="15"/>
  <c r="Q54" i="15"/>
  <c r="B2" i="15"/>
  <c r="D10" i="12"/>
  <c r="C43" i="15"/>
  <c r="J42" i="15"/>
  <c r="J43" i="15"/>
  <c r="Q58" i="15"/>
  <c r="Q67" i="15"/>
  <c r="C70" i="15"/>
  <c r="C46" i="15"/>
  <c r="B3" i="44"/>
  <c r="B4" i="44"/>
  <c r="B5" i="44"/>
  <c r="B3" i="15"/>
  <c r="D8" i="12"/>
  <c r="C6" i="12"/>
  <c r="Q76" i="15"/>
  <c r="Q63" i="15"/>
  <c r="C29" i="12"/>
  <c r="C24" i="12"/>
  <c r="C35" i="12"/>
  <c r="C33" i="12"/>
  <c r="C28" i="12"/>
  <c r="C26" i="12"/>
  <c r="C31" i="12"/>
  <c r="C30" i="12"/>
  <c r="C36" i="12"/>
  <c r="B2" i="12"/>
  <c r="B3" i="12"/>
  <c r="C20" i="9"/>
  <c r="C19" i="9"/>
  <c r="B5" i="12"/>
  <c r="B4" i="12"/>
  <c r="G19" i="9"/>
  <c r="C32" i="9"/>
  <c r="L43" i="9"/>
  <c r="D22" i="9"/>
  <c r="G20" i="9"/>
  <c r="G22" i="9"/>
  <c r="C21" i="9"/>
  <c r="N43" i="9"/>
  <c r="G21" i="9"/>
  <c r="C42" i="9"/>
  <c r="O38" i="9"/>
  <c r="C35" i="9"/>
  <c r="F42" i="9"/>
  <c r="C34" i="9"/>
  <c r="C33" i="9"/>
  <c r="O43" i="9"/>
  <c r="M38" i="9"/>
  <c r="K27" i="9"/>
  <c r="E42" i="9"/>
  <c r="P5" i="54"/>
  <c r="B46" i="63"/>
  <c r="K26" i="9"/>
  <c r="K25" i="9"/>
  <c r="D42" i="9"/>
  <c r="Q5" i="54"/>
  <c r="B47" i="63"/>
  <c r="N38" i="9"/>
  <c r="K28" i="9"/>
  <c r="C44" i="9"/>
  <c r="D14" i="66"/>
  <c r="D63" i="9"/>
  <c r="R5" i="54"/>
  <c r="B48" i="63"/>
  <c r="N68" i="9"/>
  <c r="B5" i="66"/>
  <c r="F14" i="66"/>
  <c r="E14" i="66"/>
  <c r="D70" i="9"/>
  <c r="D77" i="9"/>
  <c r="N75" i="9"/>
  <c r="C96" i="9"/>
  <c r="C91" i="9"/>
  <c r="C82" i="9"/>
  <c r="C81" i="9"/>
  <c r="C85" i="9"/>
  <c r="C86" i="9"/>
  <c r="D72" i="9"/>
  <c r="C90" i="9"/>
  <c r="C97" i="9"/>
  <c r="D71" i="9"/>
  <c r="D66" i="9"/>
  <c r="N72" i="9"/>
  <c r="C111" i="9"/>
  <c r="C104" i="9"/>
  <c r="C103" i="9"/>
  <c r="N69" i="9"/>
  <c r="O39" i="9"/>
  <c r="F44" i="9"/>
  <c r="G14" i="66"/>
  <c r="B6" i="66"/>
  <c r="D44" i="9"/>
  <c r="E44" i="9"/>
  <c r="M86" i="9"/>
  <c r="N86" i="9"/>
  <c r="M87" i="9"/>
  <c r="N87" i="9"/>
  <c r="M84" i="9"/>
  <c r="N84" i="9"/>
  <c r="M85" i="9"/>
  <c r="N85" i="9"/>
  <c r="M88" i="9"/>
  <c r="N88" i="9"/>
  <c r="M83" i="9"/>
  <c r="N83" i="9"/>
  <c r="C98" i="9"/>
  <c r="E98" i="9"/>
  <c r="E99" i="9"/>
  <c r="D6" i="66"/>
  <c r="C6" i="66"/>
  <c r="R6" i="54"/>
  <c r="B50" i="63"/>
  <c r="K29" i="9"/>
  <c r="K30" i="9"/>
  <c r="C113" i="9"/>
  <c r="D5" i="66"/>
  <c r="C5" i="66"/>
  <c r="N89" i="9"/>
  <c r="O89" i="9"/>
  <c r="C114" i="9"/>
  <c r="E114" i="9"/>
  <c r="E115" i="9"/>
  <c r="C99" i="9"/>
  <c r="C115" i="9"/>
  <c r="D76" i="9"/>
  <c r="D74" i="9"/>
  <c r="N74" i="9"/>
  <c r="O77" i="9"/>
  <c r="O78" i="9"/>
  <c r="Q77" i="9"/>
  <c r="O7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<sst xmlns="http://schemas.openxmlformats.org/spreadsheetml/2006/main" count="7207" uniqueCount="3184">
  <si>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</si>
  <si>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</si>
  <si>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</si>
  <si>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</si>
  <si>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</si>
  <si>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</si>
  <si>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</si>
  <si>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</si>
  <si>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</si>
  <si>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</si>
  <si>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</si>
  <si>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</si>
  <si>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</si>
  <si>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</si>
  <si>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</si>
  <si>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</si>
  <si>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</si>
  <si>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</si>
  <si>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</si>
  <si>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</si>
  <si>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</si>
  <si>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</si>
  <si>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</si>
  <si>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</si>
  <si>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</si>
  <si>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</si>
  <si>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</si>
  <si>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</si>
  <si>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</si>
  <si>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</si>
  <si>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</si>
  <si>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</si>
  <si>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</si>
  <si>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</si>
  <si>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</si>
  <si>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</si>
  <si>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</si>
  <si>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</si>
  <si>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</si>
  <si>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</si>
  <si>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</si>
  <si>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</si>
  <si>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</si>
  <si>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</si>
  <si>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</si>
  <si>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</si>
  <si>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</si>
  <si>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</si>
  <si>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</si>
  <si>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</si>
  <si>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</si>
  <si>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</si>
  <si>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</si>
  <si>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</si>
  <si>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</si>
  <si>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</si>
  <si>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</si>
  <si>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</si>
  <si>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</si>
  <si>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</si>
  <si>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</si>
  <si>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</si>
  <si>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</si>
  <si>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</si>
  <si>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</si>
  <si>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</si>
  <si>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</si>
  <si>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</si>
  <si>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</si>
  <si>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</si>
  <si>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</si>
  <si>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</si>
  <si>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</si>
  <si>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</si>
  <si>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</si>
  <si>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</si>
  <si>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</si>
  <si>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</si>
  <si>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</si>
  <si>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</si>
  <si>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</si>
  <si>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</si>
  <si>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</si>
  <si>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</si>
  <si>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</si>
  <si>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</si>
  <si>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</si>
  <si>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</si>
  <si>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</si>
  <si>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</si>
  <si>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</si>
  <si>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</si>
  <si>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</si>
  <si>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</si>
  <si>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</si>
  <si>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</si>
  <si>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</si>
  <si>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</si>
  <si>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</si>
  <si>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</si>
  <si>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</si>
  <si>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</si>
  <si>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</si>
  <si>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</si>
  <si>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</si>
  <si>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</si>
  <si>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</si>
  <si>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</si>
  <si>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</si>
  <si>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</si>
  <si>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</si>
  <si>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</si>
  <si>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</si>
  <si>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</si>
  <si>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</si>
  <si>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</si>
  <si>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</si>
  <si>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</si>
  <si>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</si>
  <si>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</si>
  <si>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</si>
  <si>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</si>
  <si>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</si>
  <si>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</si>
  <si>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</si>
  <si>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</si>
  <si>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</si>
  <si>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</si>
  <si>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</si>
  <si>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</si>
  <si>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</si>
  <si>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</si>
  <si>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</si>
  <si>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</si>
  <si>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</si>
  <si>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</si>
  <si>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</si>
  <si>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</si>
  <si>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</si>
  <si>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</si>
  <si>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</si>
  <si>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</si>
  <si>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</si>
  <si>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</si>
  <si>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</si>
  <si>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</si>
  <si>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</si>
  <si>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</si>
  <si>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</si>
  <si>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</si>
  <si>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</si>
  <si>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</si>
  <si>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</si>
  <si>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</si>
  <si>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</si>
  <si>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</si>
  <si>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</si>
  <si>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</si>
  <si>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</si>
  <si>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</si>
  <si>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</si>
  <si>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</si>
  <si>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</si>
  <si>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</si>
  <si>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</si>
  <si>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</si>
  <si>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</si>
  <si>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</si>
  <si>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</si>
  <si>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</si>
  <si>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</si>
  <si>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</si>
  <si>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</si>
  <si>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</si>
  <si>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</si>
  <si>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</si>
  <si>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</si>
  <si>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</si>
  <si>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</si>
  <si>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</si>
  <si>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</si>
  <si>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</si>
  <si>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</si>
  <si>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</si>
  <si>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</si>
  <si>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</si>
  <si>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</si>
  <si>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</si>
  <si>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</si>
  <si>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</si>
  <si>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</si>
  <si>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</si>
  <si>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</si>
  <si>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</si>
  <si>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</si>
  <si>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</si>
  <si>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</si>
  <si>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</si>
  <si>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</si>
  <si>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</si>
  <si>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</si>
  <si>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</si>
  <si>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</si>
  <si>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</si>
  <si>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</si>
  <si>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</si>
  <si>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</si>
  <si>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</si>
  <si>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</si>
  <si>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</si>
  <si>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</si>
  <si>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</si>
  <si>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</si>
  <si>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</si>
  <si>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</si>
  <si>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</si>
  <si>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</si>
  <si>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</si>
  <si>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</si>
  <si>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</si>
  <si>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</si>
  <si>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</si>
  <si>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</si>
  <si>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</si>
  <si>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</si>
  <si>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</si>
  <si>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</si>
  <si>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</si>
  <si>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</si>
  <si>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</si>
  <si>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</si>
  <si>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</si>
  <si>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</si>
  <si>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</si>
  <si>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</si>
  <si>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</si>
  <si>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</si>
  <si>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</si>
  <si>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</si>
  <si>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</si>
  <si>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</si>
  <si>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</si>
  <si>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</si>
  <si>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</si>
  <si>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</si>
  <si>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</si>
  <si>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</si>
  <si>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</si>
  <si>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</si>
  <si>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</si>
  <si>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</si>
  <si>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</si>
  <si>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</si>
  <si>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</si>
  <si>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</si>
  <si>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</si>
  <si>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</si>
  <si>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</si>
  <si>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</si>
  <si>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</si>
  <si>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</si>
  <si>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</si>
  <si>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</si>
  <si>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</si>
  <si>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</si>
  <si>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</si>
  <si>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</si>
  <si>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</si>
  <si>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</si>
  <si>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</si>
  <si>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</si>
  <si>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</si>
  <si>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</si>
  <si>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</si>
  <si>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</si>
  <si>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</si>
  <si>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</si>
  <si>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</si>
  <si>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</si>
  <si>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</si>
  <si>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</si>
  <si>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</si>
  <si>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</si>
  <si>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</si>
  <si>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</si>
  <si>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</si>
  <si>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</si>
  <si>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</si>
  <si>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</si>
  <si>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</si>
  <si>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</si>
  <si>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</si>
  <si>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</si>
  <si>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</si>
  <si>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</si>
  <si>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</si>
  <si>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</si>
  <si>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</si>
  <si>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</si>
  <si>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</si>
  <si>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</si>
  <si>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</si>
  <si>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</si>
  <si>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</si>
  <si>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</si>
  <si>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</si>
  <si>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</si>
  <si>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</si>
  <si>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</si>
  <si>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</si>
  <si>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</si>
  <si>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</si>
  <si>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</si>
  <si>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</si>
  <si>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</si>
  <si>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</si>
  <si>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</si>
  <si>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</si>
  <si>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</si>
  <si>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</si>
  <si>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</si>
  <si>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</si>
  <si>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</si>
  <si>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</si>
  <si>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</si>
  <si>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</si>
  <si>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</si>
  <si>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</si>
  <si>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</si>
  <si>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</si>
  <si>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</si>
  <si>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</si>
  <si>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</si>
  <si>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</si>
  <si>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</si>
  <si>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</si>
  <si>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</si>
  <si>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</si>
  <si>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</si>
  <si>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</si>
  <si>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</si>
  <si>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</si>
  <si>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</si>
  <si>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</si>
  <si>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</si>
  <si>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</si>
  <si>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</si>
  <si>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</si>
  <si>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</si>
  <si>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</si>
  <si>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</si>
  <si>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</si>
  <si>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</si>
  <si>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</si>
  <si>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</si>
  <si>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</si>
  <si>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</si>
  <si>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</si>
  <si>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</si>
  <si>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</si>
  <si>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</si>
  <si>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</si>
  <si>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</si>
  <si>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</si>
  <si>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</si>
  <si>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</si>
  <si>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</si>
  <si>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</si>
  <si>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</si>
  <si>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</si>
  <si>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</si>
  <si>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</si>
  <si>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</si>
  <si>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</si>
  <si>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</si>
  <si>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</si>
  <si>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</si>
  <si>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</si>
  <si>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</si>
  <si>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</si>
  <si>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</si>
  <si>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</si>
  <si>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</si>
  <si>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</si>
  <si>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</si>
  <si>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</si>
  <si>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</si>
  <si>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</si>
  <si>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</si>
  <si>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</si>
  <si>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</si>
  <si>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</si>
  <si>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</si>
  <si>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</si>
  <si>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</si>
  <si>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</si>
  <si>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</si>
  <si>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</si>
  <si>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</si>
  <si>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</si>
  <si>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</si>
  <si>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</si>
  <si>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</si>
  <si>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</si>
  <si>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</si>
  <si>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</si>
  <si>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</si>
  <si>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</si>
  <si>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</si>
  <si>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</si>
  <si>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</si>
  <si>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</si>
  <si>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</si>
  <si>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</si>
  <si>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</si>
  <si>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</si>
  <si>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</si>
  <si>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</si>
  <si>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</si>
  <si>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</si>
  <si>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</si>
  <si>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</si>
  <si>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</si>
  <si>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</si>
  <si>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</si>
  <si>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</si>
  <si>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</si>
  <si>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</si>
  <si>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</si>
  <si>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</si>
  <si>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</si>
  <si>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</si>
  <si>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</si>
  <si>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</si>
  <si>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</si>
  <si>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</si>
  <si>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</si>
  <si>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</si>
  <si>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</si>
  <si>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</si>
  <si>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</si>
  <si>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</si>
  <si>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</si>
  <si>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</si>
  <si>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</si>
  <si>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</si>
  <si>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</si>
  <si>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</si>
  <si>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</si>
  <si>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</si>
  <si>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</si>
  <si>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</si>
  <si>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</si>
  <si>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</si>
  <si>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</si>
  <si>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</si>
  <si>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</si>
  <si>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</si>
  <si>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</si>
  <si>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</si>
  <si>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</si>
  <si>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</si>
  <si>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</si>
  <si>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</si>
  <si>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</si>
  <si>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</si>
  <si>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</si>
  <si>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</si>
  <si>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</si>
  <si>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</si>
  <si>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</si>
  <si>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</si>
  <si>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</si>
  <si>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</si>
  <si>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</si>
  <si>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</si>
  <si>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</si>
  <si>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</si>
  <si>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</si>
  <si>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</si>
  <si>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</si>
  <si>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</si>
  <si>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</si>
  <si>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</si>
  <si>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</si>
  <si>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</si>
  <si>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</si>
  <si>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</si>
  <si>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</si>
  <si>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</si>
  <si>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</si>
  <si>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</si>
  <si>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</si>
  <si>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</si>
  <si>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</si>
  <si>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</si>
  <si>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</si>
  <si>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</si>
  <si>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</si>
  <si>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</si>
  <si>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</si>
  <si>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</si>
  <si>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</si>
  <si>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</si>
  <si>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</si>
  <si>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</si>
  <si>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</si>
  <si>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</si>
  <si>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</si>
  <si>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</si>
  <si>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</si>
  <si>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</si>
  <si>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</si>
  <si>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</si>
  <si>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</si>
  <si>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</si>
  <si>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</si>
  <si>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</si>
  <si>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</si>
  <si>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</si>
  <si>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</si>
  <si>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</si>
  <si>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</si>
  <si>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</si>
  <si>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</si>
  <si>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</si>
  <si>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</si>
  <si>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</si>
  <si>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</si>
  <si>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</si>
  <si>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</si>
  <si>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</si>
  <si>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</si>
  <si>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</si>
  <si>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</si>
  <si>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</si>
  <si>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</si>
  <si>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</si>
  <si>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</si>
  <si>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</si>
  <si>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</si>
  <si>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</si>
  <si>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</si>
  <si>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</si>
  <si>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</si>
  <si>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</si>
  <si>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</si>
  <si>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</si>
  <si>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</si>
  <si>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</si>
  <si>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</si>
  <si>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</si>
  <si>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</si>
  <si>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</si>
  <si>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</si>
  <si>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</si>
  <si>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</si>
  <si>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</si>
  <si>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</si>
  <si>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</si>
  <si>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</si>
  <si>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</si>
  <si>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</si>
  <si>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</si>
  <si>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</si>
  <si>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</si>
  <si>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</si>
  <si>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</si>
  <si>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</si>
  <si>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</si>
  <si>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</si>
  <si>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</si>
  <si>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</si>
  <si>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</si>
  <si>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</si>
  <si>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</si>
  <si>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</si>
  <si>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</si>
  <si>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</si>
  <si>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</si>
  <si>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</si>
  <si>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</si>
  <si>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</si>
  <si>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</si>
  <si>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</si>
  <si>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</si>
  <si>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</si>
  <si>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</si>
  <si>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</si>
  <si>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</si>
  <si>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</si>
  <si>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</si>
  <si>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</si>
  <si>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</si>
  <si>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</si>
  <si>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</si>
  <si>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</si>
  <si>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</si>
  <si>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</si>
  <si>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</si>
  <si>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</si>
  <si>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</si>
  <si>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</si>
  <si>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</si>
  <si>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</si>
  <si>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</si>
  <si>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</si>
  <si>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</si>
  <si>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</si>
  <si>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</si>
  <si>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</si>
  <si>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</si>
  <si>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</si>
  <si>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</si>
  <si>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</si>
  <si>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</si>
  <si>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</si>
  <si>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</si>
  <si>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</si>
  <si>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</si>
  <si>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</si>
  <si>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</si>
  <si>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</si>
  <si>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</si>
  <si>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</si>
  <si>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</si>
  <si>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</si>
  <si>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</si>
  <si>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</si>
  <si>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</si>
  <si>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</si>
  <si>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</si>
  <si>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</si>
  <si>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</si>
  <si>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</si>
  <si>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</si>
  <si>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</si>
  <si>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</si>
  <si>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</si>
  <si>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</si>
  <si>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</si>
  <si>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</si>
  <si>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</si>
  <si>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</si>
  <si>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</si>
  <si>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</si>
  <si>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</si>
  <si>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</si>
  <si>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</si>
  <si>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</si>
  <si>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</si>
  <si>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</si>
  <si>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</si>
  <si>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</si>
  <si>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</si>
  <si>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</si>
  <si>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</si>
  <si>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</si>
  <si>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</si>
  <si>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</si>
  <si>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</si>
  <si>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</si>
  <si>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</si>
  <si>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</si>
  <si>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</si>
  <si>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</si>
  <si>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</si>
  <si>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</si>
  <si>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</si>
  <si>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</si>
  <si>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</si>
  <si>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</si>
  <si>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</si>
  <si>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</si>
  <si>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</si>
  <si>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</si>
  <si>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</si>
  <si>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</si>
  <si>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</si>
  <si>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</si>
  <si>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</si>
  <si>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</si>
  <si>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</si>
  <si>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</si>
  <si>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</si>
  <si>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</si>
  <si>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</si>
  <si>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</si>
  <si>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</si>
  <si>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</si>
  <si>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</si>
  <si>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</si>
  <si>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</si>
  <si>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</si>
  <si>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</si>
  <si>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</si>
  <si>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</si>
  <si>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</si>
  <si>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</si>
  <si>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</si>
  <si>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</si>
  <si>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</si>
  <si>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</si>
  <si>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</si>
  <si>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</si>
  <si>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</si>
  <si>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</si>
  <si>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</si>
  <si>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</si>
  <si>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</si>
  <si>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</si>
  <si>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</si>
  <si>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</si>
  <si>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</si>
  <si>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</si>
  <si>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</si>
  <si>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</si>
  <si>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</si>
  <si>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</si>
  <si>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</si>
  <si>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</si>
  <si>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</si>
  <si>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</si>
  <si>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</si>
  <si>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</si>
  <si>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</si>
  <si>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</si>
  <si>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</si>
  <si>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</si>
  <si>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</si>
  <si>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</si>
  <si>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</si>
  <si>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</si>
  <si>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</si>
  <si>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</si>
  <si>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</si>
  <si>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</si>
  <si>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</si>
  <si>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</si>
  <si>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</si>
  <si>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</si>
  <si>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</si>
  <si>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</si>
  <si>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</si>
  <si>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</si>
  <si>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</si>
  <si>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</si>
  <si>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</si>
  <si>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</si>
  <si>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</si>
  <si>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</si>
  <si>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</si>
  <si>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</si>
  <si>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</si>
  <si>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</si>
  <si>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</si>
  <si>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</si>
  <si>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</si>
  <si>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</si>
  <si>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</si>
  <si>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</si>
  <si>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</si>
  <si>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</si>
  <si>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</si>
  <si>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</si>
  <si>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</si>
  <si>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</si>
  <si>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</si>
  <si>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</si>
  <si>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</si>
  <si>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</si>
  <si>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</si>
  <si>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</si>
  <si>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</si>
  <si>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</si>
  <si>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</si>
  <si>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</si>
  <si>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</si>
  <si>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</si>
  <si>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</si>
  <si>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</si>
  <si>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</si>
  <si>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</si>
  <si>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</si>
  <si>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</si>
  <si>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</si>
  <si>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</si>
  <si>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</si>
  <si>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</si>
  <si>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</si>
  <si>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</si>
  <si>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</si>
  <si>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</si>
  <si>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</si>
  <si>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</si>
  <si>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</si>
  <si>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</si>
  <si>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</si>
  <si>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</si>
  <si>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</si>
  <si>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</si>
  <si>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</si>
  <si>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</si>
  <si>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</si>
  <si>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</si>
  <si>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</si>
  <si>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</si>
  <si>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</si>
  <si>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</si>
  <si>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</si>
  <si>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</si>
  <si>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</si>
  <si>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</si>
  <si>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</si>
  <si>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</si>
  <si>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</si>
  <si>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</si>
  <si>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</si>
  <si>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</si>
  <si>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</si>
  <si>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</si>
  <si>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</si>
  <si>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</si>
  <si>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</si>
  <si>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</si>
  <si>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</si>
  <si>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</si>
  <si>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</si>
  <si>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</si>
  <si>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</si>
  <si>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</si>
  <si>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</si>
  <si>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</si>
  <si>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</si>
  <si>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</si>
  <si>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</si>
  <si>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</si>
  <si>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</si>
  <si>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</si>
  <si>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</si>
  <si>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</si>
  <si>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</si>
  <si>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</si>
  <si>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</si>
  <si>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</si>
  <si>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</si>
  <si>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</si>
  <si>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</si>
  <si>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</si>
  <si>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</si>
  <si>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</si>
  <si>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</si>
  <si>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</si>
  <si>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</si>
  <si>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</si>
  <si>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</si>
  <si>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</si>
  <si>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</si>
  <si>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</si>
  <si>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</si>
  <si>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</si>
  <si>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</si>
  <si>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</si>
  <si>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</si>
  <si>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</si>
  <si>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</si>
  <si>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</si>
  <si>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</si>
  <si>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</si>
  <si>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</si>
  <si>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</si>
  <si>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</si>
  <si>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</si>
  <si>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</si>
  <si>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</si>
  <si>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</si>
  <si>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</si>
  <si>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</si>
  <si>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</si>
  <si>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</si>
  <si>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</si>
  <si>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</si>
  <si>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</si>
  <si>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</si>
  <si>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</si>
  <si>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</si>
  <si>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</si>
  <si>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</si>
  <si>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</si>
  <si>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</si>
  <si>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</si>
  <si>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</si>
  <si>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</si>
  <si>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</si>
  <si>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</si>
  <si>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</si>
  <si>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</si>
  <si>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</si>
  <si>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</si>
  <si>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</si>
  <si>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</si>
  <si>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</si>
  <si>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</si>
  <si>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</si>
  <si>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</si>
  <si>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</si>
  <si>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</si>
  <si>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</si>
  <si>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</si>
  <si>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</si>
  <si>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</si>
  <si>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</si>
  <si>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</si>
  <si>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</si>
  <si>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</si>
  <si>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</si>
  <si>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</si>
  <si>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</si>
  <si>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</si>
  <si>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</si>
  <si>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</si>
  <si>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</si>
  <si>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</si>
  <si>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</si>
  <si>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</si>
  <si>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</si>
  <si>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</si>
  <si>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</si>
  <si>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</si>
  <si>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</si>
  <si>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</si>
  <si>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</si>
  <si>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</si>
  <si>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</si>
  <si>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</si>
  <si>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</si>
  <si>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</si>
  <si>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</si>
  <si>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</si>
  <si>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</si>
  <si>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</si>
  <si>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</si>
  <si>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</si>
  <si>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</si>
  <si>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</si>
  <si>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</si>
  <si>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</si>
  <si>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</si>
  <si>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</si>
  <si>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</si>
  <si>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</si>
  <si>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</si>
  <si>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</si>
  <si>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</si>
  <si>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</si>
  <si>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</si>
  <si>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</si>
  <si>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</si>
  <si>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</si>
  <si>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</si>
  <si>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</si>
  <si>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</si>
  <si>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</si>
  <si>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</si>
  <si>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</si>
  <si>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</si>
  <si>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</si>
  <si>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</si>
  <si>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</si>
  <si>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</si>
  <si>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</si>
  <si>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</si>
  <si>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</si>
  <si>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</si>
  <si>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</si>
  <si>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</si>
  <si>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</si>
  <si>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</si>
  <si>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</si>
  <si>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</si>
  <si>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</si>
  <si>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</si>
  <si>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</si>
  <si>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</si>
  <si>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</si>
  <si>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</si>
  <si>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</si>
  <si>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</si>
  <si>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</si>
  <si>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</si>
  <si>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</si>
  <si>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</si>
  <si>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</si>
  <si>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</si>
  <si>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</si>
  <si>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</si>
  <si>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</si>
  <si>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</si>
  <si>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</si>
  <si>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</si>
  <si>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</si>
  <si>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</si>
  <si>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</si>
  <si>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</si>
  <si>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</si>
  <si>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</si>
  <si>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</si>
  <si>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</si>
  <si>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</si>
  <si>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</si>
  <si>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</si>
  <si>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</si>
  <si>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</si>
  <si>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</si>
  <si>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</si>
  <si>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</si>
  <si>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</si>
  <si>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</si>
  <si>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</si>
  <si>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</si>
  <si>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</si>
  <si>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</si>
  <si>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</si>
  <si>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</si>
  <si>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</si>
  <si>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</si>
  <si>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</si>
  <si>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</si>
  <si>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</si>
  <si>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</si>
  <si>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</si>
  <si>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</si>
  <si>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</si>
  <si>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</si>
  <si>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</si>
  <si>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</si>
  <si>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</si>
  <si>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</si>
  <si>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</si>
  <si>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</si>
  <si>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</si>
  <si>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</si>
  <si>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</si>
  <si>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</si>
  <si>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</si>
  <si>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</si>
  <si>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</si>
  <si>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</si>
  <si>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</si>
  <si>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</si>
  <si>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</si>
  <si>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</si>
  <si>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</si>
  <si>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</si>
  <si>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</si>
  <si>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</si>
  <si>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</si>
  <si>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</si>
  <si>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</si>
  <si>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</si>
  <si>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</si>
  <si>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</si>
  <si>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</si>
  <si>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</si>
  <si>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</si>
  <si>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</si>
  <si>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</si>
  <si>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</si>
  <si>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</si>
  <si>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</si>
  <si>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</si>
  <si>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</si>
  <si>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</si>
  <si>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</si>
  <si>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</si>
  <si>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</si>
  <si>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</si>
  <si>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</si>
  <si>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</si>
  <si>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</si>
  <si>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</si>
  <si>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</si>
  <si>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</si>
  <si>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</si>
  <si>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</si>
  <si>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</si>
  <si>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</si>
  <si>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</si>
  <si>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</si>
  <si>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</si>
  <si>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</si>
  <si>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</si>
  <si>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</si>
  <si>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</si>
  <si>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</si>
  <si>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</si>
  <si>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</si>
  <si>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</si>
  <si>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</si>
  <si>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</si>
  <si>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</si>
  <si>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</si>
  <si>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</si>
  <si>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</si>
  <si>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</si>
  <si>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</si>
  <si>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</si>
  <si>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</si>
  <si>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</si>
  <si>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</si>
  <si>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</si>
  <si>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</si>
  <si>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</si>
  <si>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</si>
  <si>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</si>
  <si>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</si>
  <si>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</si>
  <si>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</si>
  <si>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</si>
  <si>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</si>
  <si>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</si>
  <si>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</si>
  <si>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</si>
  <si>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</si>
  <si>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</si>
  <si>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</si>
  <si>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</si>
  <si>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</si>
  <si>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</si>
  <si>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</si>
  <si>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</si>
  <si>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</si>
  <si>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</si>
  <si>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</si>
  <si>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</si>
  <si>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</si>
  <si>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</si>
  <si>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</si>
  <si>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</si>
  <si>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</si>
  <si>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</si>
  <si>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</si>
  <si>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</si>
  <si>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</si>
  <si>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</si>
  <si>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</si>
  <si>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</si>
  <si>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</si>
  <si>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</si>
  <si>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</si>
  <si>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</si>
  <si>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</si>
  <si>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</si>
  <si>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</si>
  <si>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</si>
  <si>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</si>
  <si>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</si>
  <si>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</si>
  <si>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</si>
  <si>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</si>
  <si>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</si>
  <si>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</si>
  <si>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</si>
  <si>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</si>
  <si>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</si>
  <si>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</si>
  <si>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</si>
  <si>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</si>
  <si>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</si>
  <si>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</si>
  <si>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</si>
  <si>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</si>
  <si>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</si>
  <si>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</si>
  <si>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</si>
  <si>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</si>
  <si>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</si>
  <si>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</si>
  <si>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</si>
  <si>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</si>
  <si>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</si>
  <si>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</si>
  <si>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</si>
  <si>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</si>
  <si>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</si>
  <si>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</si>
  <si>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</si>
  <si>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</si>
  <si>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</si>
  <si>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</si>
  <si>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</si>
  <si>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</si>
  <si>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</si>
  <si>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</si>
  <si>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</si>
  <si>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</si>
  <si>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</si>
  <si>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</si>
  <si>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</si>
  <si>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</si>
  <si>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</si>
  <si>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</si>
  <si>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</si>
  <si>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</si>
  <si>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</si>
  <si>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</si>
  <si>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</si>
  <si>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</si>
  <si>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</si>
  <si>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</si>
  <si>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</si>
  <si>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</si>
  <si>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</si>
  <si>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</si>
  <si>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</si>
  <si>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</si>
  <si>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</si>
  <si>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</si>
  <si>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</si>
  <si>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</si>
  <si>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</si>
  <si>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</si>
  <si>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</si>
  <si>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</si>
  <si>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</si>
  <si>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</si>
  <si>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</si>
  <si>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</si>
  <si>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</si>
  <si>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</si>
  <si>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</si>
  <si>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</si>
  <si>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</si>
  <si>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</si>
  <si>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</si>
  <si>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</si>
  <si>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</si>
  <si>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</si>
  <si>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</si>
  <si>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</si>
  <si>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</si>
  <si>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</si>
  <si>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</si>
  <si>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</si>
  <si>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</si>
  <si>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</si>
  <si>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</si>
  <si>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</si>
  <si>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</si>
  <si>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</si>
  <si>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</si>
  <si>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</si>
  <si>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</si>
  <si>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</si>
  <si>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</si>
  <si>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</si>
  <si>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</si>
  <si>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</si>
  <si>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</si>
  <si>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</si>
  <si>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</si>
  <si>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</si>
  <si>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</si>
  <si>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</si>
  <si>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</si>
  <si>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</si>
  <si>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</si>
  <si>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</si>
  <si>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</si>
  <si>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</si>
  <si>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</si>
  <si>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</si>
  <si>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</si>
  <si>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</si>
  <si>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</si>
  <si>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</si>
  <si>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</si>
  <si>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</si>
  <si>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</si>
  <si>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</si>
  <si>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</si>
  <si>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</si>
  <si>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</si>
  <si>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</si>
  <si>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</si>
  <si>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</si>
  <si>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</si>
  <si>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</si>
  <si>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</si>
  <si>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</si>
  <si>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</si>
  <si>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</si>
  <si>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</si>
  <si>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</si>
  <si>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</si>
  <si>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</si>
  <si>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</si>
  <si>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</si>
  <si>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</si>
  <si>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</si>
  <si>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</si>
  <si>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</si>
  <si>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</si>
  <si>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</si>
  <si>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</si>
  <si>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</si>
  <si>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</si>
  <si>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</si>
  <si>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</si>
  <si>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</si>
  <si>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</si>
  <si>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</si>
  <si>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</si>
  <si>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</si>
  <si>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</si>
  <si>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</si>
  <si>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</si>
  <si>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</si>
  <si>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</si>
  <si>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</si>
  <si>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</si>
  <si>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</si>
  <si>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</si>
  <si>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</si>
  <si>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</si>
  <si>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</si>
  <si>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</si>
  <si>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</si>
  <si>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</si>
  <si>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</si>
  <si>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</si>
  <si>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</si>
  <si>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</si>
  <si>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</si>
  <si>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</si>
  <si>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</si>
  <si>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</si>
  <si>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</si>
  <si>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</si>
  <si>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</si>
  <si>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</si>
  <si>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</si>
  <si>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</si>
  <si>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</si>
  <si>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</si>
  <si>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</si>
  <si>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</si>
  <si>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</si>
  <si>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</si>
  <si>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</si>
  <si>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</si>
  <si>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</si>
  <si>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</si>
  <si>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</si>
  <si>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</si>
  <si>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</si>
  <si>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</si>
  <si>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</si>
  <si>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</si>
  <si>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</si>
  <si>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</si>
  <si>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</si>
  <si>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</si>
  <si>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</si>
  <si>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</si>
  <si>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</si>
  <si>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</si>
  <si>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</si>
  <si>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</si>
  <si>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</si>
  <si>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</si>
  <si>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</si>
  <si>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</si>
  <si>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</si>
  <si>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</si>
  <si>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</si>
  <si>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</si>
  <si>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</si>
  <si>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</si>
  <si>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</si>
  <si>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</si>
  <si>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</si>
  <si>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</si>
  <si>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</si>
  <si>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</si>
  <si>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</si>
  <si>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</si>
  <si>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</si>
  <si>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</si>
  <si>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</si>
  <si>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</si>
  <si>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</si>
  <si>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</si>
  <si>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</si>
  <si>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</si>
  <si>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</si>
  <si>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</si>
  <si>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</si>
  <si>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</si>
  <si>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</si>
  <si>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</si>
  <si>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</si>
  <si>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</si>
  <si>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</si>
  <si>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</si>
  <si>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</si>
  <si>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</si>
  <si>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</si>
  <si>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</si>
  <si>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</si>
  <si>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</si>
  <si>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</si>
  <si>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</si>
  <si>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</si>
  <si>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</si>
  <si>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</si>
  <si>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</si>
  <si>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</si>
  <si>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</si>
  <si>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</si>
  <si>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</si>
  <si>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</si>
  <si>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</si>
  <si>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</si>
  <si>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</si>
  <si>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</si>
  <si>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</si>
  <si>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</si>
  <si>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</si>
  <si>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</si>
  <si>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</si>
  <si>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</si>
  <si>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</si>
  <si>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</si>
  <si>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</si>
  <si>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</si>
  <si>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</si>
  <si>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</si>
  <si>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</si>
  <si>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</si>
  <si>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</si>
  <si>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</si>
  <si>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</si>
  <si>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</si>
  <si>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</si>
  <si>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</si>
  <si>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</si>
  <si>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</si>
  <si>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</si>
  <si>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</si>
  <si>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</si>
  <si>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</si>
  <si>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</si>
  <si>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</si>
  <si>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</si>
  <si>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</si>
  <si>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</si>
  <si>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</si>
  <si>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</si>
  <si>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</si>
  <si>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</si>
  <si>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</si>
  <si>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</si>
  <si>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</si>
  <si>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</si>
  <si>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</si>
  <si>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</si>
  <si>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</si>
  <si>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</si>
  <si>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</si>
  <si>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</si>
  <si>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</si>
  <si>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</si>
  <si>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</si>
  <si>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</si>
  <si>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</si>
  <si>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</si>
  <si>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</si>
  <si>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</si>
  <si>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</si>
  <si>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</si>
  <si>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</si>
  <si>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</si>
  <si>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</si>
  <si>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</si>
  <si>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</si>
  <si>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</si>
  <si>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</si>
  <si>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</si>
  <si>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</si>
  <si>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</si>
  <si>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</si>
  <si>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</si>
  <si>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</si>
  <si>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</si>
  <si>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</si>
  <si>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</si>
  <si>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</si>
  <si>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</si>
  <si>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</si>
  <si>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</si>
  <si>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</si>
  <si>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</si>
  <si>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</si>
  <si>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</si>
  <si>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</si>
  <si>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</si>
  <si>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</si>
  <si>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</si>
  <si>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</si>
  <si>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</si>
  <si>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</si>
  <si>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</si>
  <si>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</si>
  <si>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</si>
  <si>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</si>
  <si>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</si>
  <si>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</si>
  <si>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</si>
  <si>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</si>
  <si>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</si>
  <si>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</si>
  <si>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</si>
  <si>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</si>
  <si>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</si>
  <si>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</si>
  <si>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</si>
  <si>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</si>
  <si>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</si>
  <si>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</si>
  <si>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</si>
  <si>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</si>
  <si>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</si>
  <si>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</si>
  <si>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</si>
  <si>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</si>
  <si>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</si>
  <si>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</si>
  <si>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</si>
  <si>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</si>
  <si>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</si>
  <si>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</si>
  <si>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</si>
  <si>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</si>
  <si>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</si>
  <si>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</si>
  <si>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</si>
  <si>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</si>
  <si>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</si>
  <si>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</si>
  <si>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</si>
  <si>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</si>
  <si>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</si>
  <si>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</si>
  <si>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</si>
  <si>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</si>
  <si>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</si>
  <si>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</si>
  <si>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</si>
  <si>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</si>
  <si>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</si>
  <si>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</si>
  <si>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</si>
  <si>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</si>
  <si>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</si>
  <si>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</si>
  <si>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</si>
  <si>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</si>
  <si>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</si>
  <si>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</si>
  <si>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</si>
  <si>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</si>
  <si>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</si>
  <si>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</si>
  <si>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</si>
  <si>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</si>
  <si>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</si>
  <si>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</si>
  <si>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</si>
  <si>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</si>
  <si>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</si>
  <si>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</si>
  <si>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</si>
  <si>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</si>
  <si>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</si>
  <si>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</si>
  <si>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</si>
  <si>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</si>
  <si>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</si>
  <si>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</si>
  <si>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</si>
  <si>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</si>
  <si>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</si>
  <si>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</si>
  <si>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</si>
  <si>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</si>
  <si>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</si>
  <si>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</si>
  <si>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</si>
  <si>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</si>
  <si>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</si>
  <si>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</si>
  <si>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</si>
  <si>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</si>
  <si>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</si>
  <si>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</si>
  <si>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</si>
  <si>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</si>
  <si>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</si>
  <si>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</si>
  <si>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</si>
  <si>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</si>
  <si>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</si>
  <si>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</si>
  <si>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</si>
  <si>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</si>
  <si>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</si>
  <si>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</si>
  <si>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</si>
  <si>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</si>
  <si>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</si>
  <si>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</si>
  <si>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</si>
  <si>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</si>
  <si>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</si>
  <si>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</si>
  <si>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</si>
  <si>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</si>
  <si>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</si>
  <si>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</si>
  <si>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</si>
  <si>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</si>
  <si>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</si>
  <si>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</si>
  <si>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</si>
  <si>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</si>
  <si>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</si>
  <si>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</si>
  <si>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</si>
  <si>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</si>
  <si>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</si>
  <si>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</si>
  <si>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</si>
  <si>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</si>
  <si>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</si>
  <si>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</si>
  <si>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</si>
  <si>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</si>
  <si>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</si>
  <si>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</si>
  <si>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</si>
  <si>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</si>
  <si>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</si>
  <si>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</si>
  <si>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</si>
  <si>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</si>
  <si>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</si>
  <si>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</si>
  <si>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</si>
  <si>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</si>
  <si>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</si>
  <si>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</si>
  <si>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</si>
  <si>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</si>
  <si>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</si>
  <si>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</si>
  <si>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</si>
  <si>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</si>
  <si>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</si>
  <si>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</si>
  <si>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</si>
  <si>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</si>
  <si>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</si>
  <si>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</si>
  <si>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</si>
  <si>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</si>
  <si>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</si>
  <si>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</si>
  <si>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</si>
  <si>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</si>
  <si>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</si>
  <si>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</si>
  <si>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</si>
  <si>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</si>
  <si>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</si>
  <si>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</si>
  <si>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</si>
  <si>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</si>
  <si>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</si>
  <si>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</si>
  <si>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</si>
  <si>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</si>
  <si>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</si>
  <si>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</si>
  <si>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</si>
  <si>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</si>
  <si>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</si>
  <si>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</si>
  <si>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</si>
  <si>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</si>
  <si>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</si>
  <si>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</si>
  <si>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</si>
  <si>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</si>
  <si>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</si>
  <si>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</si>
  <si>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</si>
  <si>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</si>
  <si>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</si>
  <si>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</si>
  <si>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</si>
  <si>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</si>
  <si>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</si>
  <si>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</si>
  <si>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</si>
  <si>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</si>
  <si>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</si>
  <si>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</si>
  <si>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</si>
  <si>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</si>
  <si>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</si>
  <si>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</si>
  <si>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</si>
  <si>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</si>
  <si>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</si>
  <si>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</si>
  <si>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</si>
  <si>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</si>
  <si>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</si>
  <si>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</si>
  <si>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</si>
  <si>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</si>
  <si>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</si>
  <si>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</si>
  <si>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</si>
  <si>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</si>
  <si>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</si>
  <si>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</si>
  <si>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</si>
  <si>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</si>
  <si>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</si>
  <si>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</si>
  <si>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</si>
  <si>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</si>
  <si>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</si>
  <si>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</si>
  <si>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</si>
  <si>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</si>
  <si>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</si>
  <si>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</si>
  <si>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</si>
  <si>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</si>
  <si>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</si>
  <si>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</si>
  <si>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</si>
  <si>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</si>
  <si>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</si>
  <si>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</si>
  <si>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</si>
  <si>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</si>
  <si>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</si>
  <si>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</si>
  <si>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</si>
  <si>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</si>
  <si>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</si>
  <si>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</si>
  <si>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</si>
  <si>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</si>
  <si>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</si>
  <si>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</si>
  <si>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</si>
  <si>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</si>
  <si>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</si>
  <si>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</si>
  <si>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</si>
  <si>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</si>
  <si>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</si>
  <si>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</si>
  <si>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</si>
  <si>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</si>
  <si>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</si>
  <si>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</si>
  <si>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</si>
  <si>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</si>
  <si>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</si>
  <si>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</si>
  <si>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</si>
  <si>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</si>
  <si>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</si>
  <si>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</si>
  <si>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</si>
  <si>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</si>
  <si>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</si>
  <si>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</si>
  <si>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</si>
  <si>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</si>
  <si>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</si>
  <si>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</si>
  <si>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</si>
  <si>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</si>
  <si>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</si>
  <si>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</si>
  <si>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</si>
  <si>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</si>
  <si>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</si>
  <si>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</si>
  <si>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</si>
  <si>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</si>
  <si>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</si>
  <si>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</si>
  <si>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</si>
  <si>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</si>
  <si>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</si>
  <si>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</si>
  <si>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</si>
  <si>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</si>
  <si>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</si>
  <si>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</si>
  <si>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</si>
  <si>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</si>
  <si>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</si>
  <si>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</si>
  <si>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</si>
  <si>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</si>
  <si>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</si>
  <si>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</si>
  <si>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</si>
  <si>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</si>
  <si>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</si>
  <si>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</si>
  <si>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</si>
  <si>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</si>
  <si>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</si>
  <si>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</si>
  <si>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</si>
  <si>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</si>
  <si>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</si>
  <si>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</si>
  <si>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</si>
  <si>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</si>
  <si>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</si>
  <si>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</si>
  <si>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</si>
  <si>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</si>
  <si>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</si>
  <si>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</si>
  <si>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</si>
  <si>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</si>
  <si>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</si>
  <si>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</si>
  <si>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</si>
  <si>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</si>
  <si>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</si>
  <si>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</si>
  <si>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</si>
  <si>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</si>
  <si>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</si>
  <si>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</si>
  <si>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</si>
  <si>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</si>
  <si>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</si>
  <si>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</si>
  <si>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</si>
  <si>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</si>
  <si>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</si>
  <si>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</si>
  <si>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</si>
  <si>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</si>
  <si>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</si>
  <si>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</si>
  <si>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</si>
  <si>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</si>
  <si>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</si>
  <si>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</si>
  <si>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</si>
  <si>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</si>
  <si>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</si>
  <si>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</si>
  <si>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</si>
  <si>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</si>
  <si>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</si>
  <si>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</si>
  <si>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</si>
  <si>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</si>
  <si>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</si>
  <si>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</si>
  <si>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</si>
  <si>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</si>
  <si>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</si>
  <si>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</si>
  <si>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</si>
  <si>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</si>
  <si>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</si>
  <si>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</si>
  <si>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</si>
  <si>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</si>
  <si>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</si>
  <si>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</si>
  <si>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</si>
  <si>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</si>
  <si>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</si>
  <si>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</si>
  <si>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</si>
  <si>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</si>
  <si>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</si>
  <si>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</si>
  <si>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</si>
  <si>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</si>
  <si>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</si>
  <si>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</si>
  <si>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</si>
  <si>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</si>
  <si>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</si>
  <si>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</si>
  <si>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</si>
  <si>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</si>
  <si>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</si>
  <si>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</si>
  <si>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</si>
  <si>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</si>
  <si>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</si>
  <si>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</si>
  <si>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</si>
  <si>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</si>
  <si>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</si>
  <si>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</si>
  <si>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</si>
  <si>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</si>
  <si>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</si>
  <si>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</si>
  <si>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</si>
  <si>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</si>
  <si>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</si>
  <si>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</si>
  <si>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</si>
  <si>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</si>
  <si>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</si>
  <si>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</si>
  <si>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</si>
  <si>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</si>
  <si>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</si>
  <si>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</si>
  <si>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</si>
  <si>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</si>
  <si>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</si>
  <si>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</si>
  <si>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</si>
  <si>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</si>
  <si>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</si>
  <si>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</si>
  <si>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</si>
  <si>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</si>
  <si>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</si>
  <si>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</si>
  <si>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</si>
  <si>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</si>
  <si>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</si>
  <si>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</si>
  <si>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</si>
  <si>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</si>
  <si>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</si>
  <si>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</si>
  <si>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</si>
  <si>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</si>
  <si>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</si>
  <si>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</si>
  <si>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</si>
  <si>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</si>
  <si>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</si>
  <si>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</si>
  <si>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</si>
  <si>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</si>
  <si>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</si>
  <si>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</si>
  <si>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</si>
  <si>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</si>
  <si>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</si>
  <si>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</si>
  <si>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</si>
  <si>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</si>
  <si>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</si>
  <si>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</si>
  <si>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</si>
  <si>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</si>
  <si>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</si>
  <si>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</si>
  <si>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</si>
  <si>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</si>
  <si>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</si>
  <si>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</si>
  <si>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</si>
  <si>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</si>
  <si>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</si>
  <si>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</si>
  <si>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</si>
  <si>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</si>
  <si>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</si>
  <si>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</si>
  <si>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</si>
  <si>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</si>
  <si>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</si>
  <si>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</si>
  <si>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</si>
  <si>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</si>
  <si>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</si>
  <si>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</si>
  <si>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</si>
  <si>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</si>
  <si>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</si>
  <si>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</si>
  <si>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</si>
  <si>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</si>
  <si>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</si>
  <si>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</si>
  <si>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</si>
  <si>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</si>
  <si>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</si>
  <si>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</si>
  <si>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</si>
  <si>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</si>
  <si>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</si>
  <si>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</si>
  <si>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</si>
  <si>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</si>
  <si>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</si>
  <si>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</si>
  <si>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</si>
  <si>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</si>
  <si>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</si>
  <si>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</si>
  <si>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</si>
  <si>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</si>
  <si>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</si>
  <si>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</si>
  <si>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</si>
  <si>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</si>
  <si>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</si>
  <si>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</si>
  <si>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</si>
  <si>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</si>
  <si>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</si>
  <si>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</si>
  <si>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</si>
  <si>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</si>
  <si>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</si>
  <si>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</si>
  <si>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</si>
  <si>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</si>
  <si>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</si>
  <si>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</si>
  <si>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</si>
  <si>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</si>
  <si>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</si>
  <si>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</si>
  <si>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</si>
  <si>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</si>
  <si>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</si>
  <si>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</si>
  <si>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</si>
  <si>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</si>
  <si>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</si>
  <si>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</si>
  <si>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</si>
  <si>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</si>
  <si>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</si>
  <si>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</si>
  <si>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</si>
  <si>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</si>
  <si>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</si>
  <si>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</si>
  <si>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</si>
  <si>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</si>
  <si>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</si>
  <si>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</si>
  <si>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</si>
  <si>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</si>
  <si>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</si>
  <si>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</si>
  <si>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</si>
  <si>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</si>
  <si>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</si>
  <si>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</si>
  <si>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</si>
  <si>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</si>
  <si>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</si>
  <si>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</si>
  <si>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</si>
  <si>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</si>
  <si>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</si>
  <si>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</si>
  <si>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</si>
  <si>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</si>
  <si>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</si>
  <si>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</si>
  <si>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</si>
  <si>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</si>
  <si>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</si>
  <si>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</si>
  <si>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</si>
  <si>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</si>
  <si>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</si>
  <si>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</si>
  <si>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</si>
  <si>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</si>
  <si>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</si>
  <si>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</si>
  <si>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</si>
  <si>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</si>
  <si>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</si>
  <si>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</si>
  <si>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</si>
  <si>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</si>
  <si>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</si>
  <si>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</si>
  <si>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</si>
  <si>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</si>
  <si>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</si>
  <si>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</si>
  <si>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</si>
  <si>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</si>
  <si>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</si>
  <si>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</si>
  <si>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</si>
  <si>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</si>
  <si>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</si>
  <si>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</si>
  <si>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</si>
  <si>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</si>
  <si>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</si>
  <si>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</si>
  <si>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</si>
  <si>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</si>
  <si>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</si>
  <si>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</si>
  <si>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</si>
  <si>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</si>
  <si>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</si>
  <si>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</si>
  <si>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</si>
  <si>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</si>
  <si>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</si>
  <si>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</si>
  <si>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</si>
  <si>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</si>
  <si>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</si>
  <si>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</si>
  <si>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</si>
  <si>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</si>
  <si>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</si>
  <si>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</si>
  <si>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</si>
  <si>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</si>
  <si>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</si>
  <si>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</si>
  <si>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</si>
  <si>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</si>
  <si>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</si>
  <si>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</si>
  <si>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</si>
  <si>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</si>
  <si>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</si>
  <si>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</si>
  <si>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</si>
  <si>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</si>
  <si>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</si>
  <si>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</si>
  <si>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</si>
  <si>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</si>
  <si>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</si>
  <si>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</si>
  <si>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</si>
  <si>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</si>
  <si>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</si>
  <si>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</si>
  <si>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</si>
  <si>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</si>
  <si>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</si>
  <si>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</si>
  <si>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</si>
  <si>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</si>
  <si>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</si>
  <si>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</si>
  <si>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</si>
  <si>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</si>
  <si>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</si>
  <si>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</si>
  <si>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</si>
  <si>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</si>
  <si>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</si>
  <si>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</si>
  <si>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</si>
  <si>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</si>
  <si>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</si>
  <si>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</si>
  <si>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</si>
  <si>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</si>
  <si>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</si>
  <si>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</si>
  <si>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</si>
  <si>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</si>
  <si>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</si>
  <si>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</si>
  <si>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</si>
  <si>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</si>
  <si>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</si>
  <si>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</si>
  <si>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</si>
  <si>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</si>
  <si>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</si>
  <si>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</si>
  <si>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</si>
  <si>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</si>
  <si>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</si>
  <si>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</si>
  <si>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</si>
  <si>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</si>
  <si>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</si>
  <si>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</si>
  <si>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</si>
  <si>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</si>
  <si>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</si>
  <si>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</si>
  <si>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</si>
  <si>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</si>
  <si>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</si>
  <si>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</si>
  <si>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</si>
  <si>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</si>
  <si>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</si>
  <si>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</si>
  <si>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</si>
  <si>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</si>
  <si>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</si>
  <si>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</si>
  <si>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</si>
  <si>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</si>
  <si>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</si>
  <si>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</si>
  <si>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</si>
  <si>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</si>
  <si>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</si>
  <si>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</si>
  <si>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</si>
  <si>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</si>
  <si>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</si>
  <si>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</si>
  <si>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</si>
  <si>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</si>
  <si>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</si>
  <si>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</si>
  <si>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</si>
  <si>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</si>
  <si>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</si>
  <si>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</si>
  <si>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</si>
  <si>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</si>
  <si>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</si>
  <si>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</si>
  <si>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</si>
  <si>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</si>
  <si>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</si>
  <si>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</si>
  <si>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</si>
  <si>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</si>
  <si>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</si>
  <si>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</si>
  <si>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</si>
  <si>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</si>
  <si>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</si>
  <si>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</si>
  <si>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</si>
  <si>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</si>
  <si>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</si>
  <si>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</si>
  <si>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</si>
  <si>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</si>
  <si>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</si>
  <si>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</si>
  <si>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</si>
  <si>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</si>
  <si>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</si>
  <si>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</si>
  <si>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</si>
  <si>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</si>
  <si>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</si>
  <si>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</si>
  <si>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</si>
  <si>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</si>
  <si>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</si>
  <si>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</si>
  <si>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</si>
  <si>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</si>
  <si>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</si>
  <si>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</si>
  <si>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</si>
  <si>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</si>
  <si>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</si>
  <si>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</si>
  <si>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</si>
  <si>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</si>
  <si>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</si>
  <si>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</si>
  <si>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</si>
  <si>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</si>
  <si>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</si>
  <si>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</si>
  <si>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</si>
  <si>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</si>
  <si>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</si>
  <si>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</si>
  <si>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</si>
  <si>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</si>
  <si>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</si>
  <si>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</si>
  <si>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</si>
  <si>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</si>
  <si>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</si>
  <si>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</si>
  <si>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</si>
  <si>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</si>
  <si>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</si>
  <si>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</si>
  <si>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</si>
  <si>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</si>
  <si>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</si>
  <si>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</si>
  <si>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</si>
  <si>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</si>
  <si>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</si>
  <si>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</si>
  <si>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</si>
  <si>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</si>
  <si>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</si>
  <si>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</si>
  <si>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</si>
  <si>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</si>
  <si>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</si>
  <si>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</si>
  <si>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</si>
  <si>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</si>
  <si>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</si>
  <si>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</si>
  <si>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</si>
  <si>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</si>
  <si>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</si>
  <si>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</si>
  <si>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</si>
  <si>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</si>
  <si>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</si>
  <si>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</si>
  <si>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</si>
  <si>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</si>
  <si>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</si>
  <si>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</si>
  <si>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</si>
  <si>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</si>
  <si>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</si>
  <si>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</si>
  <si>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</si>
  <si>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</si>
  <si>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</si>
  <si>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</si>
  <si>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</si>
  <si>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</si>
  <si>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</si>
  <si>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</si>
  <si>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</si>
  <si>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</si>
  <si>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</si>
  <si>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</si>
  <si>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</si>
  <si>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</si>
  <si>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</si>
  <si>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</si>
  <si>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</si>
  <si>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</si>
  <si>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</si>
  <si>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</si>
  <si>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</si>
  <si>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</si>
  <si>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</si>
  <si>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</si>
  <si>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</si>
  <si>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</si>
  <si>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</si>
  <si>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</si>
  <si>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</si>
  <si>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</si>
  <si>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</si>
  <si>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</si>
  <si>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</si>
  <si>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</si>
  <si>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</si>
  <si>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</si>
  <si>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</si>
  <si>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</si>
  <si>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</si>
  <si>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</si>
  <si>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</si>
  <si>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</si>
  <si>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</si>
  <si>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</si>
  <si>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</si>
  <si>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</si>
  <si>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</si>
  <si>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</si>
  <si>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</si>
  <si>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</si>
  <si>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</si>
  <si>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</si>
  <si>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</si>
  <si>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</si>
  <si>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</si>
  <si>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</si>
  <si>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</si>
  <si>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</si>
  <si>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</si>
  <si>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</si>
  <si>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</si>
  <si>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</si>
  <si>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</si>
  <si>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</si>
  <si>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</si>
  <si>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</si>
  <si>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</si>
  <si>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</si>
  <si>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</si>
  <si>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</si>
  <si>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</si>
  <si>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</si>
  <si>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</si>
  <si>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</si>
  <si>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</si>
  <si>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</si>
  <si>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</si>
  <si>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</si>
  <si>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</si>
  <si>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</si>
  <si>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</si>
  <si>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</si>
  <si>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</si>
  <si>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</si>
  <si>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</si>
  <si>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</si>
  <si>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</si>
  <si>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</si>
  <si>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</si>
  <si>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</si>
  <si>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</si>
  <si>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</si>
  <si>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</si>
  <si>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</si>
  <si>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</si>
  <si>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</si>
  <si>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</si>
  <si>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</si>
  <si>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</si>
  <si>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</si>
  <si>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</si>
  <si>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</si>
  <si>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</si>
  <si>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</si>
  <si>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</si>
  <si>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</si>
  <si>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</si>
  <si>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</si>
  <si>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</si>
  <si>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</si>
  <si>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</si>
  <si>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</si>
  <si>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</si>
  <si>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</si>
  <si>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</si>
  <si>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</si>
  <si>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</si>
  <si>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</si>
  <si>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</si>
  <si>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</si>
  <si>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</si>
  <si>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</si>
  <si>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</si>
  <si>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</si>
  <si>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</si>
  <si>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</si>
  <si>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</si>
  <si>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</si>
  <si>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</si>
  <si>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</si>
  <si>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</si>
  <si>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</si>
  <si>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</si>
  <si>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</si>
  <si>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</si>
  <si>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</si>
  <si>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</si>
  <si>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</si>
  <si>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</si>
  <si>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</si>
  <si>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</si>
  <si>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</si>
  <si>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</si>
  <si>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</si>
  <si>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</si>
  <si>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</si>
  <si>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</si>
  <si>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</si>
  <si>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</si>
  <si>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</si>
  <si>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</si>
  <si>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</si>
  <si>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</si>
  <si>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</si>
  <si>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</si>
  <si>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</si>
  <si>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</si>
  <si>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</si>
  <si>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</si>
  <si>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</si>
  <si>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</si>
  <si>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</si>
  <si>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</si>
  <si>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</si>
  <si>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</si>
  <si>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</si>
  <si>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</si>
  <si>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</si>
  <si>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</si>
  <si>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</si>
  <si>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</si>
  <si>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</si>
  <si>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</si>
  <si>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</si>
  <si>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</si>
  <si>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</si>
  <si>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</si>
  <si>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</si>
  <si>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</si>
  <si>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</si>
  <si>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</si>
  <si>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</si>
  <si>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</si>
  <si>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</si>
  <si>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</si>
  <si>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</si>
  <si>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</si>
  <si>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</si>
  <si>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</si>
  <si>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</si>
  <si>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</si>
  <si>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</si>
  <si>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</si>
  <si>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</si>
  <si>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</si>
  <si>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</si>
  <si>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</si>
  <si>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</si>
  <si>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</si>
  <si>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</si>
  <si>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</si>
  <si>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</si>
  <si>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</si>
  <si>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</si>
  <si>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</si>
  <si>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</si>
  <si>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</si>
  <si>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</si>
  <si>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</si>
  <si>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</si>
  <si>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</si>
  <si>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</si>
  <si>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</si>
  <si>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</si>
  <si>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</si>
  <si>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</si>
  <si>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</si>
  <si>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</si>
  <si>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</si>
  <si>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</si>
  <si>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</si>
  <si>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</si>
  <si>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</si>
  <si>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</si>
  <si>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</si>
  <si>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</si>
  <si>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</si>
  <si>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</si>
  <si>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</si>
  <si>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</si>
  <si>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</si>
  <si>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</si>
  <si>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</si>
  <si>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</si>
  <si>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</si>
  <si>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</si>
  <si>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</si>
  <si>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</si>
  <si>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</si>
  <si>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</si>
  <si>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</si>
  <si>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</si>
  <si>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</si>
  <si>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</si>
  <si>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</si>
  <si>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</si>
  <si>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</si>
  <si>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</si>
  <si>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</si>
  <si>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</si>
  <si>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</si>
  <si>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</si>
  <si>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</si>
  <si>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</si>
  <si>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</si>
  <si>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</si>
  <si>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</si>
  <si>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</si>
  <si>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</si>
  <si>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</si>
  <si>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</si>
  <si>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</si>
  <si>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</si>
  <si>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</si>
  <si>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</si>
  <si>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</si>
  <si>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</si>
  <si>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</si>
  <si>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</si>
  <si>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</si>
  <si>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</si>
  <si>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</si>
  <si>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</si>
  <si>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</si>
  <si>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</si>
  <si>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</si>
  <si>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</si>
  <si>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</si>
  <si>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</si>
  <si>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</si>
  <si>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</si>
  <si>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</si>
  <si>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</si>
  <si>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</si>
  <si>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</si>
  <si>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</si>
  <si>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</si>
  <si>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</si>
  <si>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</si>
  <si>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</si>
  <si>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</si>
  <si>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</si>
  <si>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</si>
  <si>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</si>
  <si>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</si>
  <si>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</si>
  <si>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</si>
  <si>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</si>
  <si>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</si>
  <si>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</si>
  <si>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</si>
  <si>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</si>
  <si>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</si>
  <si>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</si>
  <si>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</si>
  <si>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</si>
  <si>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</si>
  <si>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</si>
  <si>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</si>
  <si>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</si>
  <si>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</si>
  <si>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</si>
  <si>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</si>
  <si>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</si>
  <si>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</si>
  <si>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</si>
  <si>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</si>
  <si>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</si>
  <si>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</si>
  <si>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</si>
  <si>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</si>
  <si>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</si>
  <si>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</si>
  <si>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</si>
  <si>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</si>
  <si>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</si>
  <si>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</si>
  <si>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</si>
  <si>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</si>
  <si>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</si>
  <si>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</si>
  <si>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</si>
  <si>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</si>
  <si>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</si>
  <si>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</si>
  <si>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</si>
  <si>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</si>
  <si>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</si>
  <si>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</si>
  <si>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</si>
  <si>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</si>
  <si>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</si>
  <si>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</si>
  <si>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</si>
  <si>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</si>
  <si>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</si>
  <si>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</si>
  <si>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</si>
  <si>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</si>
  <si>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</si>
  <si>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</si>
  <si>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</si>
  <si>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</si>
  <si>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</si>
  <si>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</si>
  <si>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</si>
  <si>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</si>
  <si>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</si>
  <si>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</si>
  <si>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</si>
  <si>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</si>
  <si>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</si>
  <si>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</si>
  <si>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</si>
  <si>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</si>
  <si>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</si>
  <si>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</si>
  <si>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</si>
  <si>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</si>
  <si>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</si>
  <si>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</si>
  <si>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</si>
  <si>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</si>
  <si>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</si>
  <si>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</si>
  <si>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</si>
  <si>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</si>
  <si>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</si>
  <si>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</si>
  <si>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</si>
  <si>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</si>
  <si>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</si>
  <si>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</si>
  <si>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</si>
  <si>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</si>
  <si>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</si>
  <si>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</si>
  <si>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</si>
  <si>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</si>
  <si>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</si>
  <si>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</si>
  <si>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</si>
  <si>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</si>
  <si>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</si>
  <si>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</si>
  <si>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</si>
  <si>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</si>
  <si>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</si>
  <si>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</si>
  <si>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</si>
  <si>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</si>
  <si>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</si>
  <si>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</si>
  <si>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</si>
  <si>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</si>
  <si>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</si>
  <si>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</si>
  <si>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</si>
  <si>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</si>
  <si>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</si>
  <si>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</si>
  <si>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</si>
  <si>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</si>
  <si>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</si>
  <si>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</si>
  <si>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</si>
  <si>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</si>
  <si>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</si>
  <si>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</si>
  <si>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</si>
  <si>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</si>
  <si>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</si>
  <si>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</si>
  <si>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</si>
  <si>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</si>
  <si>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</si>
  <si>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</si>
  <si>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</si>
  <si>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</si>
  <si>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</si>
  <si>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</si>
  <si>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</si>
  <si>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</si>
  <si>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</si>
  <si>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</si>
  <si>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</si>
  <si>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</si>
  <si>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</si>
  <si>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</si>
  <si>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</si>
  <si>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</si>
  <si>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</si>
  <si>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</si>
  <si>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</si>
  <si>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</si>
  <si>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</si>
  <si>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</si>
  <si>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</si>
  <si>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</si>
  <si>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</si>
  <si>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</si>
  <si>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</si>
  <si>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</si>
  <si>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</si>
  <si>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</si>
  <si>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</si>
  <si>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</si>
  <si>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</si>
  <si>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</si>
  <si>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</si>
  <si>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</si>
  <si>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</si>
  <si>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</si>
  <si>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</si>
  <si>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</si>
  <si>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</si>
  <si>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</si>
  <si>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</si>
  <si>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</si>
  <si>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</si>
  <si>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</si>
  <si>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</si>
  <si>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</si>
  <si>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</si>
  <si>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</si>
  <si>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</si>
  <si>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</si>
  <si>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</si>
  <si>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</si>
  <si>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</si>
  <si>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</si>
  <si>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</si>
  <si>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</si>
  <si>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</si>
  <si>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</si>
  <si>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</si>
  <si>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</si>
  <si>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</si>
  <si>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</si>
  <si>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</si>
  <si>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</si>
  <si>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</si>
  <si>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</si>
  <si>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</si>
  <si>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</si>
  <si>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</si>
  <si>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</si>
  <si>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</si>
  <si>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</si>
  <si>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</si>
  <si>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</si>
  <si>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</si>
  <si>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</si>
  <si>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</si>
  <si>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</si>
  <si>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</si>
  <si>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</si>
  <si>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</si>
  <si>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</si>
  <si>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</si>
  <si>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</si>
  <si>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</si>
  <si>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</si>
  <si>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</si>
  <si>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</si>
  <si>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</si>
  <si>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</si>
  <si>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</si>
  <si>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</si>
  <si>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</si>
  <si>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</si>
  <si>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</si>
  <si>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</si>
  <si>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</si>
  <si>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</si>
  <si>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</si>
  <si>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</si>
  <si>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</si>
  <si>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</si>
  <si>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</si>
  <si>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</si>
  <si>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</si>
  <si>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</si>
  <si>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</si>
  <si>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</si>
  <si>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</si>
  <si>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</si>
  <si>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</si>
  <si>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</si>
  <si>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</si>
  <si>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</si>
  <si>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</si>
  <si>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</si>
  <si>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</si>
  <si>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</si>
  <si>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</si>
  <si>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</si>
  <si>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</si>
  <si>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</si>
  <si>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</si>
  <si>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</si>
  <si>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</si>
  <si>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</si>
  <si>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</si>
  <si>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</si>
  <si>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</si>
  <si>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</si>
  <si>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</si>
  <si>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</si>
  <si>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</si>
  <si>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</si>
  <si>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</si>
  <si>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</si>
  <si>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</si>
  <si>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</si>
  <si>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</si>
  <si>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</si>
  <si>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</si>
  <si>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</si>
  <si>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</si>
  <si>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</si>
  <si>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</si>
  <si>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</si>
  <si>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</si>
  <si>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</si>
  <si>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</si>
  <si>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</si>
  <si>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</si>
  <si>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</si>
  <si>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</si>
  <si>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</si>
  <si>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</si>
  <si>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</si>
  <si>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</si>
  <si>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</si>
  <si>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</si>
  <si>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</si>
  <si>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</si>
  <si>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</si>
  <si>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</si>
  <si>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</si>
  <si>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</si>
  <si>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</si>
  <si>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</si>
  <si>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</si>
  <si>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</si>
  <si>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</si>
  <si>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</si>
  <si>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</si>
  <si>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</si>
  <si>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</si>
  <si>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</si>
  <si>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</si>
  <si>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</si>
  <si>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</si>
  <si>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</si>
  <si>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</si>
  <si>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</si>
  <si>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</si>
  <si>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</si>
  <si>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</si>
  <si>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</si>
  <si>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</si>
  <si>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</si>
  <si>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</si>
  <si>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</si>
  <si>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</si>
  <si>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</si>
  <si>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</si>
  <si>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</si>
  <si>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</si>
  <si>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</si>
  <si>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</si>
  <si>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</si>
  <si>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</si>
  <si>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</si>
  <si>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</si>
  <si>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</si>
  <si>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</si>
  <si>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</si>
  <si>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</si>
  <si>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</si>
  <si>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</si>
  <si>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</si>
  <si>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</si>
  <si>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</si>
  <si>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</si>
  <si>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</si>
  <si>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增城区83102235A18035地块</t>
  </si>
  <si>
    <t>广州市</t>
  </si>
  <si>
    <t>住宅用地</t>
  </si>
  <si>
    <t>挂牌</t>
  </si>
  <si>
    <t>2018-07-05</t>
  </si>
  <si>
    <t>广州市方圆乐书实业投资有限公司</t>
  </si>
  <si>
    <t>增城区83001221A18064地块</t>
  </si>
  <si>
    <t>2018-06-28</t>
  </si>
  <si>
    <t>中铁建工集团诺德投资有限公司</t>
  </si>
  <si>
    <t>增城区荔城街三联村83001204A18082地块</t>
  </si>
  <si>
    <t>2018-04-28</t>
  </si>
  <si>
    <t>深圳市润投咨询有限公司</t>
  </si>
  <si>
    <t>增城区荔城街三联村83001204A18062地块</t>
  </si>
  <si>
    <t>广州金地房地产开发有限公司(保利)</t>
  </si>
  <si>
    <t>增城区增江街狮尾路83002002A17060地块</t>
  </si>
  <si>
    <t>广州碧增房地产开发有限公司(碧桂园)</t>
  </si>
  <si>
    <t>增城区朱村街凤岗村83003210A17025地块</t>
  </si>
  <si>
    <t>广州金地房地产开发有限公司,广州招商房地产有限公司(招商+保利联合体)</t>
  </si>
  <si>
    <t>增城区朱村街朱村村凤岗村83003210A18003号地块</t>
  </si>
  <si>
    <t>2018-02-28</t>
  </si>
  <si>
    <t>广州市碧城科技投资有限公司</t>
  </si>
  <si>
    <t>增城区朱村街朱村村凤岗村83003210A17026地块</t>
  </si>
  <si>
    <t>综合用地(含住宅)</t>
  </si>
  <si>
    <t>2018-01-15</t>
  </si>
  <si>
    <t>增城区朱村街朱村村凤岗村83003210A17027地块</t>
  </si>
  <si>
    <t>增城区新塘镇地铁13号线官湖车辆段及上盖地块</t>
  </si>
  <si>
    <t>2017-12-01</t>
  </si>
  <si>
    <t>广州地铁集团有限公司</t>
  </si>
  <si>
    <t>增城区新塘镇塘美村83101217A17099号地块</t>
  </si>
  <si>
    <t>2017-10-24</t>
  </si>
  <si>
    <t>广东丰乐集团有限公司</t>
  </si>
  <si>
    <t>增城区永宁街长岗村83101229A17083号地块</t>
  </si>
  <si>
    <t>2017-10-19</t>
  </si>
  <si>
    <t>百寳投资有限公司</t>
  </si>
  <si>
    <t>增城区荔城街五一村、金星村</t>
  </si>
  <si>
    <t>2017-07-31</t>
  </si>
  <si>
    <t>碧桂园</t>
  </si>
  <si>
    <t>增城区永宁街长岗村</t>
  </si>
  <si>
    <t>保利</t>
  </si>
  <si>
    <t>增城区永宁街塔岗村83101234A17022号地块</t>
  </si>
  <si>
    <t>2017-06-30</t>
  </si>
  <si>
    <t>增城市新塘工业加工区开发总公司</t>
  </si>
  <si>
    <t>增城区新塘镇塘美村后底山83001217A17033号地块</t>
  </si>
  <si>
    <t>2017-05-22</t>
  </si>
  <si>
    <t>广州市讯珑投资管理有限公司(中海联)</t>
  </si>
  <si>
    <t>增城区荔城街庆丰村83001220A16159号地块</t>
  </si>
  <si>
    <t>2017-05-04</t>
  </si>
  <si>
    <t>融信</t>
  </si>
  <si>
    <t>增城区荔城街中山路与西园路交汇处</t>
  </si>
  <si>
    <t>2017-03-29</t>
  </si>
  <si>
    <t>刘接荣(个人)</t>
  </si>
  <si>
    <t>增城区永宁街章陂村</t>
  </si>
  <si>
    <t>广州招商房地产有限公司</t>
  </si>
  <si>
    <t>增城区永宁街岗丰村、长岗村</t>
  </si>
  <si>
    <t>广州市碧桂园地产有限公司</t>
  </si>
  <si>
    <t>增城区永宁街塔岗村</t>
  </si>
  <si>
    <t>2017-01-13</t>
  </si>
  <si>
    <t>广东保利房地产开发有限公司</t>
  </si>
  <si>
    <t>增城区增江街西山村</t>
  </si>
  <si>
    <t>2016-11-04</t>
  </si>
  <si>
    <t>广州市南瑞置业有限公司</t>
  </si>
  <si>
    <t>增城区朱村街山田村(土名)</t>
  </si>
  <si>
    <t>广州万科置业有限公司</t>
  </si>
  <si>
    <t>增城区派潭镇刘家村</t>
  </si>
  <si>
    <t>2016-10-24</t>
  </si>
  <si>
    <t>增城区小楼镇腊圃村</t>
  </si>
  <si>
    <t>增城区增江街狮尾路1号、东方村</t>
  </si>
  <si>
    <t>2016-05-20</t>
  </si>
  <si>
    <t>广州市时代胜誉投资有限公司</t>
  </si>
  <si>
    <t>增城区增江街狮尾路1号</t>
  </si>
  <si>
    <t>广州安丰物业管理有限公司</t>
  </si>
  <si>
    <t>增城区朱村街横塱村(土名)</t>
  </si>
  <si>
    <t>2016-05-05</t>
  </si>
  <si>
    <t>广州捷景旅游投资有限公司(合景泰富)</t>
  </si>
  <si>
    <t>增城区增江街陆村村陆村山、四丰村鹅春岭(土名</t>
  </si>
  <si>
    <t>2016-03-07</t>
  </si>
  <si>
    <t>广州增电电力建设投资集团有限公司</t>
  </si>
  <si>
    <t>增城区石滩镇郑田村大岭(土名</t>
  </si>
  <si>
    <t>2016-02-05</t>
  </si>
  <si>
    <t>增城市碧桂园物业发展有限公司</t>
  </si>
  <si>
    <t>吴薇</t>
  </si>
  <si>
    <t>郑燚</t>
  </si>
  <si>
    <t>抵押</t>
  </si>
  <si>
    <t>抵押价格</t>
  </si>
  <si>
    <t>其他：</t>
  </si>
  <si>
    <t>企业</t>
  </si>
  <si>
    <t>一致</t>
  </si>
  <si>
    <t>符合</t>
  </si>
  <si>
    <t>出让</t>
  </si>
  <si>
    <t>居住项目</t>
  </si>
  <si>
    <t>场地平整</t>
  </si>
  <si>
    <t>通路</t>
  </si>
  <si>
    <t>通电</t>
  </si>
  <si>
    <t>通讯</t>
  </si>
  <si>
    <t>通上水</t>
  </si>
  <si>
    <t>通下水</t>
  </si>
  <si>
    <t>正常</t>
  </si>
  <si>
    <t>住宅</t>
    <phoneticPr fontId="26" type="noConversion"/>
  </si>
  <si>
    <t>楼面地价</t>
  </si>
  <si>
    <t>地上</t>
  </si>
  <si>
    <t>普通住宅</t>
  </si>
  <si>
    <t>住宅</t>
    <phoneticPr fontId="7" type="noConversion"/>
  </si>
  <si>
    <t>六通</t>
  </si>
  <si>
    <t>六通</t>
    <phoneticPr fontId="26" type="noConversion"/>
  </si>
  <si>
    <t>五通</t>
    <phoneticPr fontId="26" type="noConversion"/>
  </si>
  <si>
    <t>四通</t>
    <phoneticPr fontId="26" type="noConversion"/>
  </si>
  <si>
    <t>三通</t>
  </si>
  <si>
    <t>三通</t>
    <phoneticPr fontId="26" type="noConversion"/>
  </si>
  <si>
    <t>较好</t>
  </si>
  <si>
    <t>剩余法-待开发</t>
  </si>
  <si>
    <t>比较法-住宅、综合</t>
  </si>
  <si>
    <t>土地</t>
  </si>
  <si>
    <t>项目全部</t>
  </si>
  <si>
    <t>地下</t>
  </si>
  <si>
    <t>车库</t>
  </si>
  <si>
    <t>车库</t>
    <phoneticPr fontId="7" type="noConversion"/>
  </si>
  <si>
    <t>较好</t>
    <phoneticPr fontId="21" type="noConversion"/>
  </si>
  <si>
    <t>较好</t>
    <phoneticPr fontId="21" type="noConversion"/>
  </si>
  <si>
    <t>六通</t>
    <phoneticPr fontId="21" type="noConversion"/>
  </si>
  <si>
    <t>支路</t>
  </si>
  <si>
    <t>支路</t>
    <phoneticPr fontId="21"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</si>
  <si>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</si>
  <si>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</si>
  <si>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一般</t>
  </si>
  <si>
    <t>70</t>
    <phoneticPr fontId="26" type="noConversion"/>
  </si>
  <si>
    <t>单面临街</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</si>
  <si>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</si>
  <si>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</si>
  <si>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</si>
  <si>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</si>
  <si>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</si>
  <si>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</si>
  <si>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</si>
  <si>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</si>
  <si>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</si>
  <si>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</si>
  <si>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</si>
  <si>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</si>
  <si>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</si>
  <si>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</si>
  <si>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</si>
  <si>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</si>
  <si>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</si>
  <si>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</si>
  <si>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</si>
  <si>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</si>
  <si>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土地（套用方法）</t>
  </si>
  <si>
    <t>不动产收益法</t>
  </si>
  <si>
    <t>自定义</t>
  </si>
  <si>
    <t>按租金收入计税</t>
  </si>
  <si>
    <t>钢混</t>
  </si>
  <si>
    <t>售价</t>
  </si>
  <si>
    <t>方圆地产</t>
    <phoneticPr fontId="3" type="noConversion"/>
  </si>
  <si>
    <r>
      <rPr>
        <sz val="11"/>
        <rFont val="仿宋_GB2312"/>
        <family val="3"/>
        <charset val="134"/>
      </rPr>
      <t>项目位置</t>
    </r>
    <phoneticPr fontId="3" type="noConversion"/>
  </si>
  <si>
    <t>住宅</t>
    <phoneticPr fontId="21" type="noConversion"/>
  </si>
  <si>
    <t>50-60（含）</t>
  </si>
  <si>
    <t>快速路</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</si>
  <si>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</si>
  <si>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</si>
  <si>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</si>
  <si>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</si>
  <si>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</si>
  <si>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phoneticPr fontId="21" type="noConversion"/>
  </si>
  <si>
    <t>高档</t>
  </si>
  <si>
    <t>高档</t>
    <phoneticPr fontId="21" type="noConversion"/>
  </si>
  <si>
    <t>中档</t>
    <phoneticPr fontId="21" type="noConversion"/>
  </si>
  <si>
    <t>低档</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</si>
  <si>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</si>
  <si>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</si>
  <si>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</si>
  <si>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</si>
  <si>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</si>
  <si>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</si>
  <si>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</si>
  <si>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</si>
  <si>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</si>
  <si>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</si>
  <si>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</si>
  <si>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</si>
  <si>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</si>
  <si>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实地蔷薇</t>
    <phoneticPr fontId="3" type="noConversion"/>
  </si>
  <si>
    <t>60-70（含）</t>
  </si>
  <si>
    <t>城市支路</t>
    <phoneticPr fontId="21" type="noConversion"/>
  </si>
  <si>
    <t>城市主干道</t>
    <phoneticPr fontId="21" type="noConversion"/>
  </si>
  <si>
    <t>较好</t>
    <phoneticPr fontId="21" type="noConversion"/>
  </si>
  <si>
    <t>创基天锋</t>
    <phoneticPr fontId="3" type="noConversion"/>
  </si>
  <si>
    <t>金时花园</t>
    <phoneticPr fontId="3" type="noConversion"/>
  </si>
  <si>
    <t>城市支路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</si>
</sst>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86"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164" fillId="0" borderId="0" xfId="0" applyFont="1" applyFill="1" applyAlignment="1"/>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99" fillId="17" borderId="9" xfId="0" applyNumberFormat="1" applyFont="1" applyFill="1" applyBorder="1" applyAlignment="1" applyProtection="1">
      <alignment horizontal="center" vertical="center" wrapText="1"/>
      <protection locked="0"/>
    </xf>
    <xf numFmtId="179" fontId="71" fillId="17" borderId="67" xfId="0" applyNumberFormat="1" applyFont="1" applyFill="1" applyBorder="1" applyAlignment="1" applyProtection="1">
      <alignment horizontal="center" vertical="center" wrapText="1"/>
      <protection locked="0"/>
    </xf>
    <xf numFmtId="0" fontId="106" fillId="17" borderId="9" xfId="0" applyNumberFormat="1" applyFont="1" applyFill="1" applyBorder="1" applyAlignment="1" applyProtection="1">
      <alignment horizontal="center" vertical="center" wrapText="1"/>
      <protection locked="0"/>
    </xf>
    <xf numFmtId="182" fontId="76" fillId="17" borderId="12" xfId="0" applyNumberFormat="1" applyFont="1" applyFill="1" applyBorder="1" applyAlignment="1" applyProtection="1">
      <alignment horizontal="center" vertical="center"/>
      <protection locked="0"/>
    </xf>
    <xf numFmtId="177" fontId="71" fillId="17" borderId="12" xfId="2"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17" borderId="2" xfId="0" applyNumberFormat="1" applyFont="1" applyFill="1" applyBorder="1" applyAlignment="1" applyProtection="1">
      <alignment vertical="center"/>
      <protection locked="0"/>
    </xf>
    <xf numFmtId="0" fontId="106" fillId="17" borderId="76" xfId="0" applyNumberFormat="1" applyFont="1" applyFill="1" applyBorder="1" applyAlignment="1" applyProtection="1">
      <alignment horizontal="center" vertical="center" wrapText="1"/>
      <protection locked="0"/>
    </xf>
    <xf numFmtId="0" fontId="106" fillId="8"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35</xdr:row>
      <xdr:rowOff>0</xdr:rowOff>
    </xdr:from>
    <xdr:to>
      <xdr:col>7</xdr:col>
      <xdr:colOff>485196</xdr:colOff>
      <xdr:row>56</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51" y="1095375"/>
          <a:ext cx="3866570" cy="3343275"/>
        </a:xfrm>
        <a:prstGeom prst="rect">
          <a:avLst/>
        </a:prstGeom>
      </xdr:spPr>
    </xdr:pic>
    <xdr:clientData/>
  </xdr:twoCellAnchor>
  <xdr:twoCellAnchor editAs="oneCell">
    <xdr:from>
      <xdr:col>7</xdr:col>
      <xdr:colOff>885824</xdr:colOff>
      <xdr:row>34</xdr:row>
      <xdr:rowOff>38101</xdr:rowOff>
    </xdr:from>
    <xdr:to>
      <xdr:col>12</xdr:col>
      <xdr:colOff>2771774</xdr:colOff>
      <xdr:row>65</xdr:row>
      <xdr:rowOff>68359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4949" y="981076"/>
          <a:ext cx="6429375" cy="4754658"/>
        </a:xfrm>
        <a:prstGeom prst="rect">
          <a:avLst/>
        </a:prstGeom>
      </xdr:spPr>
    </xdr:pic>
    <xdr:clientData/>
  </xdr:twoCellAnchor>
  <xdr:twoCellAnchor editAs="oneCell">
    <xdr:from>
      <xdr:col>3</xdr:col>
      <xdr:colOff>1</xdr:colOff>
      <xdr:row>66</xdr:row>
      <xdr:rowOff>0</xdr:rowOff>
    </xdr:from>
    <xdr:to>
      <xdr:col>9</xdr:col>
      <xdr:colOff>238025</xdr:colOff>
      <xdr:row>94</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57751" y="5819775"/>
          <a:ext cx="5781574" cy="4343400"/>
        </a:xfrm>
        <a:prstGeom prst="rect">
          <a:avLst/>
        </a:prstGeom>
      </xdr:spPr>
    </xdr:pic>
    <xdr:clientData/>
  </xdr:twoCellAnchor>
  <xdr:twoCellAnchor editAs="oneCell">
    <xdr:from>
      <xdr:col>9</xdr:col>
      <xdr:colOff>752475</xdr:colOff>
      <xdr:row>66</xdr:row>
      <xdr:rowOff>9526</xdr:rowOff>
    </xdr:from>
    <xdr:to>
      <xdr:col>12</xdr:col>
      <xdr:colOff>4029074</xdr:colOff>
      <xdr:row>94</xdr:row>
      <xdr:rowOff>58681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53775" y="5829301"/>
          <a:ext cx="5657849" cy="43163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出让国有建设用地使用权抵押价格预评估</v>
      </c>
      <c r="AX2" s="2897"/>
      <c r="AZ2" s="2897"/>
      <c r="BA2" s="2898"/>
      <c r="BC2" s="2898"/>
    </row>
    <row r="3" spans="1:55" s="2899" customFormat="1">
      <c r="A3" s="2878" t="s">
        <v>2664</v>
      </c>
      <c r="B3" s="2881">
        <f>'预评函-封皮'!B40</f>
        <v>0</v>
      </c>
    </row>
    <row r="4" spans="1:55" s="2880" customFormat="1">
      <c r="A4" s="2878" t="s">
        <v>2665</v>
      </c>
      <c r="B4" s="2879" t="str">
        <f>'预评函-封皮'!B46</f>
        <v>吴薇、郑燚</v>
      </c>
      <c r="N4" s="2880" t="str">
        <f>'预评函-1'!A28</f>
        <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受贵公司委托，我公司对出让国有建设用地使用权抵押价格进行了预评估。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2708.59平方米。根据《建设工程规划许可证》[]、《出让合同》[]，估价对象规划建筑面积为9439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2662</v>
      </c>
      <c r="B10" s="2879" t="str">
        <f>'预评函-1'!A11</f>
        <v>2018年8月4日（评估专业人员勘察现场之日）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根据委托估价方介绍及评估专业人员现场勘查，本次评估估价对象实际土地开发程度为红线外市政基础设施达“七通”（即通路、通电、通讯、通上水、通下水、、）、宗地红线内场地平整。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根据《国有土地使用证》[]，估价对象（分摊）出让国有建设用地使用权面积为2708.59平方米。根据《建设工程规划许可证》[]、《出让合同》[]，估价对象规划建筑面积为9439平方米。</v>
      </c>
    </row>
    <row r="16" spans="1:55" s="2877" customFormat="1">
      <c r="A16" s="2878" t="s">
        <v>2672</v>
      </c>
      <c r="B16" s="2879" t="str">
        <f>'预评函-1'!A22</f>
        <v>本次估价对象为出让国有建设用地使用权，《国有土地使用证》[]证载土地终止日期为住宅2068年10月13日地下车库2048年10月13日。截至估价期日，出让国有建设用地使用权剩余土地使用年限为。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估价期日：2018年8月4日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红线外七通、宗地红线内场地平整</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2708.59</v>
      </c>
    </row>
    <row r="44" spans="1:2">
      <c r="A44" s="2878" t="s">
        <v>2743</v>
      </c>
      <c r="B44" s="2879" t="str">
        <f>'预评函-2'!O3</f>
        <v>规划建筑面积/㎡</v>
      </c>
    </row>
    <row r="45" spans="1:2">
      <c r="A45" s="2878" t="s">
        <v>2725</v>
      </c>
      <c r="B45" s="2879">
        <f>'预评函-2'!O5</f>
        <v>9439</v>
      </c>
    </row>
    <row r="46" spans="1:2">
      <c r="A46" s="2878" t="s">
        <v>2726</v>
      </c>
      <c r="B46" s="2879">
        <f ca="1">'预评函-2'!P5</f>
        <v>30857</v>
      </c>
    </row>
    <row r="47" spans="1:2">
      <c r="A47" s="2878" t="s">
        <v>2727</v>
      </c>
      <c r="B47" s="2879">
        <f ca="1">'预评函-2'!Q5</f>
        <v>8855</v>
      </c>
    </row>
    <row r="48" spans="1:2">
      <c r="A48" s="2878" t="s">
        <v>2728</v>
      </c>
      <c r="B48" s="2879">
        <f ca="1">'预评函-2'!R5</f>
        <v>8358</v>
      </c>
    </row>
    <row r="49" spans="1:2">
      <c r="A49" s="2878" t="s">
        <v>2744</v>
      </c>
      <c r="B49" s="2879" t="str">
        <f>'预评函-2'!A6</f>
        <v>抵押价格</v>
      </c>
    </row>
    <row r="50" spans="1:2">
      <c r="A50" s="2878" t="s">
        <v>2729</v>
      </c>
      <c r="B50" s="2879">
        <f ca="1">'预评函-2'!R6</f>
        <v>8358</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2.基础设施条件：估价对象实际开发程度为红线外七通、宗地红线内场地平整；本次评估设定开发程度为红线外七通、宗地红线内场地。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吴薇</v>
      </c>
    </row>
    <row r="70" spans="1:2">
      <c r="A70" s="2878" t="s">
        <v>2693</v>
      </c>
      <c r="B70" s="2885">
        <f ca="1">'预评函-3'!B20</f>
        <v>2002110125</v>
      </c>
    </row>
    <row r="71" spans="1:2">
      <c r="A71" s="2878" t="s">
        <v>2694</v>
      </c>
      <c r="B71" s="2879" t="str">
        <f>'预评函-3'!A21</f>
        <v>郑燚</v>
      </c>
    </row>
    <row r="72" spans="1:2" s="2893" customFormat="1" ht="15" thickBot="1">
      <c r="A72" s="2900" t="s">
        <v>2694</v>
      </c>
      <c r="B72" s="2906">
        <f>'预评函-3'!B21</f>
        <v>2014110011</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6" t="str">
        <f>IF(B10="北京市","北京市",C10)&amp;F10&amp;B16&amp;"国有建设用地使用权"&amp;B9&amp;"预评估"</f>
        <v>出让国有建设用地使用权抵押价格预评估</v>
      </c>
      <c r="C1" s="3237"/>
      <c r="D1" s="3237"/>
      <c r="E1" s="3237"/>
      <c r="F1" s="3237"/>
      <c r="G1" s="3237"/>
      <c r="H1" s="3237"/>
      <c r="I1" s="3238"/>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43316</v>
      </c>
      <c r="C3" s="1662" t="s">
        <v>1998</v>
      </c>
      <c r="D3" s="1661">
        <f>B3</f>
        <v>43316</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3076</v>
      </c>
      <c r="C4" s="1845">
        <f ca="1">SUMIF(土地估价师,B4,估价师及机构信息!E3:E24)</f>
        <v>2002110125</v>
      </c>
      <c r="D4" s="1842" t="s">
        <v>3077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3078</v>
      </c>
      <c r="C8" s="1670"/>
      <c r="D8" s="3242" t="s">
        <v>1947</v>
      </c>
      <c r="E8" s="1843" t="s">
        <v>3079</v>
      </c>
      <c r="F8" s="1671"/>
      <c r="G8" s="1659"/>
      <c r="H8" s="1659"/>
      <c r="I8" s="1706"/>
      <c r="J8" s="1693"/>
      <c r="K8" s="1773"/>
      <c r="L8" s="1722"/>
      <c r="M8" s="1722"/>
      <c r="N8" s="1693"/>
      <c r="O8" s="1694"/>
      <c r="P8" s="1693"/>
      <c r="Q8" s="1693"/>
      <c r="R8" s="1693"/>
      <c r="S8" s="1693"/>
      <c r="T8" s="1693"/>
      <c r="U8" s="1693"/>
    </row>
    <row r="9" spans="1:21" ht="15" thickBot="1">
      <c r="A9" s="1672" t="s">
        <v>1946</v>
      </c>
      <c r="B9" s="1673" t="s">
        <v>3079</v>
      </c>
      <c r="C9" s="1674"/>
      <c r="D9" s="3243"/>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3080</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3081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39"/>
      <c r="C12" s="3240"/>
      <c r="D12" s="3241"/>
      <c r="E12" s="1698" t="s">
        <v>2064</v>
      </c>
      <c r="F12" s="3257" t="s">
        <v>2892</v>
      </c>
      <c r="G12" s="3258"/>
      <c r="H12" s="3258"/>
      <c r="I12" s="3259"/>
      <c r="J12" s="1693"/>
      <c r="K12" s="1773"/>
      <c r="L12" s="1722"/>
      <c r="M12" s="1722"/>
      <c r="N12" s="1693"/>
      <c r="O12" s="1694"/>
      <c r="P12" s="1693"/>
      <c r="Q12" s="1693"/>
      <c r="R12" s="1693"/>
      <c r="S12" s="1693"/>
      <c r="T12" s="1693"/>
      <c r="U12" s="1693"/>
    </row>
    <row r="13" spans="1:21">
      <c r="A13" s="1686" t="s">
        <v>2062</v>
      </c>
      <c r="B13" s="3239"/>
      <c r="C13" s="3240"/>
      <c r="D13" s="3241"/>
      <c r="E13" s="1698" t="s">
        <v>2064</v>
      </c>
      <c r="F13" s="3257" t="s">
        <v>2893</v>
      </c>
      <c r="G13" s="3258"/>
      <c r="H13" s="3258"/>
      <c r="I13" s="3259"/>
      <c r="J13" s="1693"/>
      <c r="K13" s="1773"/>
      <c r="L13" s="1722"/>
      <c r="M13" s="1722"/>
      <c r="N13" s="1693"/>
      <c r="O13" s="1694"/>
      <c r="P13" s="1693"/>
      <c r="Q13" s="1693"/>
      <c r="R13" s="1693"/>
      <c r="S13" s="1693"/>
      <c r="T13" s="1693"/>
      <c r="U13" s="1693"/>
    </row>
    <row r="14" spans="1:21">
      <c r="A14" s="1660" t="s">
        <v>2065</v>
      </c>
      <c r="B14" s="1698"/>
      <c r="C14" s="1844" t="s">
        <v>3082</v>
      </c>
      <c r="D14" s="1732" t="str">
        <f>IF(C14="不一致","是否符合证载地类范围","")</f>
        <v/>
      </c>
      <c r="E14" s="1698"/>
      <c r="F14" s="1789" t="s">
        <v>3083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3084</v>
      </c>
      <c r="C16" s="1698" t="s">
        <v>1951</v>
      </c>
      <c r="D16" s="2646" t="s">
        <v>1952</v>
      </c>
      <c r="E16" s="1721"/>
      <c r="F16" s="1721"/>
      <c r="G16" s="1721" t="s">
        <v>35</v>
      </c>
      <c r="H16" s="1721"/>
      <c r="I16" s="1685" t="s">
        <v>1957</v>
      </c>
      <c r="J16" s="1693"/>
      <c r="K16" s="2456" t="str">
        <f>IF(D17="","",D16&amp;TEXT(D17,"yyyy年m月d日;;"))</f>
        <v>住宅2068年10月13日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地下车库2048年10月13日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61649</v>
      </c>
      <c r="E17" s="1699"/>
      <c r="F17" s="1699"/>
      <c r="G17" s="1699">
        <v>54344</v>
      </c>
      <c r="H17" s="1699"/>
      <c r="I17" s="1699"/>
      <c r="J17" s="1693"/>
      <c r="K17" s="2455" t="str">
        <f>CONCATENATE(K16,L16,M16,N16,O16,P16,Q16,R16,S16,T16,,U16)</f>
        <v>住宅2068年10月13日地下车库2048年10月13日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50.22</v>
      </c>
      <c r="E19" s="1684" t="str">
        <f>IF(B16="出让",IF(E17="","",ROUNDDOWN(MIN((E17-$D$3)/365,E18),2)),E18)</f>
        <v/>
      </c>
      <c r="F19" s="1684" t="str">
        <f>IF(B16="出让",IF(F17="","",ROUNDDOWN(MIN((F17-$D$3)/365,F18),2)),F18)</f>
        <v/>
      </c>
      <c r="G19" s="1684">
        <f>IF(B16="出让",IF(G17="","",ROUNDDOWN(MIN((G17-$D$3)/365,G18),2)),G18)</f>
        <v>30.21</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54"/>
      <c r="E20" s="3255"/>
      <c r="F20" s="3255"/>
      <c r="G20" s="3255"/>
      <c r="H20" s="3255"/>
      <c r="I20" s="3256"/>
      <c r="J20" s="1693"/>
      <c r="K20" s="1773"/>
      <c r="L20" s="1722"/>
      <c r="M20" s="1722"/>
      <c r="N20" s="1693"/>
      <c r="O20" s="1694"/>
      <c r="P20" s="1693"/>
      <c r="Q20" s="1693"/>
      <c r="R20" s="1693"/>
      <c r="S20" s="1693"/>
      <c r="T20" s="1693"/>
      <c r="U20" s="1693"/>
    </row>
    <row r="21" spans="1:21">
      <c r="A21" s="1762" t="s">
        <v>1961</v>
      </c>
      <c r="B21" s="1763" t="s">
        <v>1962</v>
      </c>
      <c r="C21" s="1758">
        <f>'数据-汇总表'!E3</f>
        <v>9439</v>
      </c>
      <c r="D21" s="1759" t="s">
        <v>1963</v>
      </c>
      <c r="E21" s="3244" t="s">
        <v>2001</v>
      </c>
      <c r="F21" s="3245"/>
      <c r="G21" s="3245"/>
      <c r="H21" s="3245"/>
      <c r="I21" s="3246"/>
      <c r="J21" s="1693"/>
      <c r="K21" s="1773"/>
      <c r="L21" s="1722"/>
      <c r="M21" s="1722"/>
      <c r="N21" s="1693"/>
      <c r="O21" s="1694"/>
      <c r="P21" s="1693"/>
      <c r="Q21" s="1693"/>
      <c r="R21" s="1693"/>
      <c r="S21" s="1693"/>
      <c r="T21" s="1693"/>
      <c r="U21" s="1693"/>
    </row>
    <row r="22" spans="1:21">
      <c r="A22" s="3146" t="s">
        <v>952</v>
      </c>
      <c r="B22" s="1660" t="s">
        <v>1964</v>
      </c>
      <c r="C22" s="1685">
        <f>'数据-汇总表'!D3</f>
        <v>2708.59</v>
      </c>
      <c r="D22" s="1686" t="s">
        <v>1963</v>
      </c>
      <c r="E22" s="3244" t="s">
        <v>2894</v>
      </c>
      <c r="F22" s="3245"/>
      <c r="G22" s="3245"/>
      <c r="H22" s="3245"/>
      <c r="I22" s="3246"/>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7" t="s">
        <v>1969</v>
      </c>
      <c r="C24" s="3248"/>
      <c r="D24" s="3249" t="s">
        <v>1970</v>
      </c>
      <c r="E24" s="3250"/>
      <c r="F24" s="1707" t="s">
        <v>1971</v>
      </c>
      <c r="G24" s="1693"/>
      <c r="H24" s="1693"/>
      <c r="I24" s="1706"/>
      <c r="J24" s="1693"/>
      <c r="K24" s="3235"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3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3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2" t="s">
        <v>2004</v>
      </c>
      <c r="B31" s="1763" t="s">
        <v>2005</v>
      </c>
      <c r="C31" s="3260" t="s">
        <v>3085</v>
      </c>
      <c r="D31" s="3261"/>
      <c r="E31" s="1693"/>
      <c r="F31" s="1693"/>
      <c r="G31" s="1693"/>
      <c r="H31" s="1693"/>
      <c r="I31" s="1706"/>
      <c r="J31" s="1693"/>
      <c r="K31" s="2458"/>
      <c r="L31" s="1693"/>
      <c r="M31" s="1693"/>
      <c r="N31" s="1693"/>
      <c r="O31" s="1693"/>
      <c r="P31" s="1693"/>
      <c r="Q31" s="1693"/>
      <c r="R31" s="1693"/>
      <c r="S31" s="1693"/>
      <c r="T31" s="1693"/>
      <c r="U31" s="1693"/>
    </row>
    <row r="32" spans="1:21">
      <c r="A32" s="3262"/>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2"/>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3"/>
      <c r="B34" s="1660" t="s">
        <v>2008</v>
      </c>
      <c r="C34" s="3264"/>
      <c r="D34" s="3265"/>
      <c r="E34" s="1693"/>
      <c r="F34" s="1693"/>
      <c r="G34" s="1693"/>
      <c r="H34" s="1693"/>
      <c r="I34" s="1706"/>
      <c r="J34" s="1693"/>
      <c r="K34" s="2458"/>
      <c r="L34" s="1693"/>
      <c r="M34" s="1693"/>
      <c r="N34" s="1693"/>
      <c r="O34" s="1693"/>
      <c r="P34" s="1693"/>
      <c r="Q34" s="1693"/>
      <c r="R34" s="1693"/>
      <c r="S34" s="1693"/>
      <c r="T34" s="1693"/>
      <c r="U34" s="1693"/>
    </row>
    <row r="35" spans="1:21">
      <c r="A35" s="3266" t="s">
        <v>847</v>
      </c>
      <c r="B35" s="1721" t="s">
        <v>3086</v>
      </c>
      <c r="C35" s="1775" t="str">
        <f>IF(B35="场地平整","——","具体情况：")</f>
        <v>——</v>
      </c>
      <c r="D35" s="3268"/>
      <c r="E35" s="3269"/>
      <c r="F35" s="3269"/>
      <c r="G35" s="3269"/>
      <c r="H35" s="3269"/>
      <c r="I35" s="3270"/>
      <c r="J35" s="1693"/>
      <c r="K35" s="1774"/>
      <c r="L35" s="1722"/>
      <c r="M35" s="1722"/>
      <c r="N35" s="1693"/>
      <c r="O35" s="1694"/>
      <c r="P35" s="1693"/>
      <c r="Q35" s="1693"/>
      <c r="R35" s="1693"/>
      <c r="S35" s="1693"/>
      <c r="T35" s="1693"/>
      <c r="U35" s="1693"/>
    </row>
    <row r="36" spans="1:21">
      <c r="A36" s="3262"/>
      <c r="B36" s="3271" t="s">
        <v>2057</v>
      </c>
      <c r="C36" s="3272"/>
      <c r="D36" s="1791"/>
      <c r="E36" s="3273"/>
      <c r="F36" s="3273"/>
      <c r="G36" s="1686" t="str">
        <f>IF(B35="场地未平整","估价结果处理","")</f>
        <v/>
      </c>
      <c r="H36" s="3274"/>
      <c r="I36" s="3274"/>
      <c r="J36" s="1693"/>
      <c r="K36" s="1774"/>
      <c r="L36" s="1722"/>
      <c r="M36" s="1722"/>
      <c r="N36" s="1693"/>
      <c r="O36" s="1694"/>
      <c r="P36" s="1693"/>
      <c r="Q36" s="1693"/>
      <c r="R36" s="1693"/>
      <c r="S36" s="1693"/>
      <c r="T36" s="1693"/>
      <c r="U36" s="1693"/>
    </row>
    <row r="37" spans="1:21" ht="28.5">
      <c r="A37" s="3262"/>
      <c r="B37" s="325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2"/>
      <c r="B38" s="3252"/>
      <c r="C38" s="1668" t="s">
        <v>850</v>
      </c>
      <c r="D38" s="1790">
        <f>ROUNDDOWN(MIN(('数据-取费表'!$B$2-D37)/365,D34),1)</f>
        <v>118.6</v>
      </c>
      <c r="E38" s="1726" t="s">
        <v>851</v>
      </c>
      <c r="F38" s="1693"/>
      <c r="G38" s="1693"/>
      <c r="H38" s="1693"/>
      <c r="I38" s="1706"/>
      <c r="J38" s="1693"/>
      <c r="K38" s="1774"/>
      <c r="L38" s="1693"/>
      <c r="M38" s="1693"/>
      <c r="N38" s="1693"/>
      <c r="O38" s="1693"/>
      <c r="P38" s="1693"/>
      <c r="Q38" s="1693"/>
      <c r="R38" s="1693"/>
      <c r="S38" s="1693"/>
      <c r="T38" s="1693"/>
      <c r="U38" s="1693"/>
    </row>
    <row r="39" spans="1:21">
      <c r="A39" s="3263"/>
      <c r="B39" s="325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3087</v>
      </c>
      <c r="C40" s="1689" t="s">
        <v>3088</v>
      </c>
      <c r="D40" s="1689" t="s">
        <v>3089</v>
      </c>
      <c r="E40" s="1689" t="s">
        <v>3090</v>
      </c>
      <c r="F40" s="1689" t="s">
        <v>3091</v>
      </c>
      <c r="G40" s="1689"/>
      <c r="H40" s="1689"/>
      <c r="I40" s="1706"/>
      <c r="J40" s="1693"/>
      <c r="K40" s="1729">
        <f>COUNTIF(B40:H40,"——")</f>
        <v>0</v>
      </c>
      <c r="L40" s="1698" t="s">
        <v>1981</v>
      </c>
      <c r="M40" s="1695" t="s">
        <v>1982</v>
      </c>
      <c r="N40" s="1695" t="s">
        <v>1983</v>
      </c>
      <c r="O40" s="1695" t="s">
        <v>1984</v>
      </c>
      <c r="P40" s="1695" t="s">
        <v>1985</v>
      </c>
      <c r="Q40" s="1695" t="s">
        <v>1986</v>
      </c>
      <c r="R40" s="1695" t="s">
        <v>1987</v>
      </c>
      <c r="S40" s="3234" t="s">
        <v>1988</v>
      </c>
      <c r="T40" s="1730" t="str">
        <f>NUMBERSTRING(7-K40,1)&amp;"通"</f>
        <v>七通</v>
      </c>
      <c r="U40" s="1693"/>
    </row>
    <row r="41" spans="1:21">
      <c r="A41" s="1662"/>
      <c r="B41" s="3267" t="s">
        <v>1722</v>
      </c>
      <c r="C41" s="3267"/>
      <c r="D41" s="3267"/>
      <c r="E41" s="3267"/>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34"/>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2" sqref="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2708.59</v>
      </c>
      <c r="B3" s="22">
        <f>IF(C3="否",G5-AT5,G5)</f>
        <v>9439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9439</v>
      </c>
      <c r="H5" s="27">
        <f t="shared" ref="H5:AT5" si="0">SUM(H13:H641)</f>
        <v>8473</v>
      </c>
      <c r="I5" s="27">
        <f t="shared" si="0"/>
        <v>6222</v>
      </c>
      <c r="J5" s="27">
        <f t="shared" si="0"/>
        <v>0</v>
      </c>
      <c r="K5" s="27">
        <f t="shared" si="0"/>
        <v>2251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966</v>
      </c>
      <c r="AD5" s="27">
        <f t="shared" si="0"/>
        <v>200</v>
      </c>
      <c r="AE5" s="27">
        <f t="shared" si="0"/>
        <v>0</v>
      </c>
      <c r="AF5" s="27">
        <f t="shared" si="0"/>
        <v>0</v>
      </c>
      <c r="AG5" s="27">
        <f t="shared" si="0"/>
        <v>0</v>
      </c>
      <c r="AH5" s="27">
        <f t="shared" si="0"/>
        <v>20</v>
      </c>
      <c r="AI5" s="27">
        <f t="shared" si="0"/>
        <v>0</v>
      </c>
      <c r="AJ5" s="27">
        <f t="shared" si="0"/>
        <v>0</v>
      </c>
      <c r="AK5" s="27">
        <f t="shared" si="0"/>
        <v>0</v>
      </c>
      <c r="AL5" s="27">
        <f t="shared" si="0"/>
        <v>253</v>
      </c>
      <c r="AM5" s="27">
        <f t="shared" si="0"/>
        <v>0</v>
      </c>
      <c r="AN5" s="27">
        <f t="shared" si="0"/>
        <v>493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9439</v>
      </c>
      <c r="BA5" s="29">
        <f t="shared" si="1"/>
        <v>8473</v>
      </c>
      <c r="BB5" s="29">
        <f t="shared" si="1"/>
        <v>6222</v>
      </c>
      <c r="BC5" s="29">
        <f t="shared" si="1"/>
        <v>2251</v>
      </c>
      <c r="BD5" s="29">
        <f t="shared" si="1"/>
        <v>0</v>
      </c>
      <c r="BE5" s="29">
        <f t="shared" si="1"/>
        <v>0</v>
      </c>
      <c r="BF5" s="29">
        <f t="shared" si="1"/>
        <v>0</v>
      </c>
      <c r="BG5" s="29">
        <f t="shared" si="1"/>
        <v>0</v>
      </c>
      <c r="BH5" s="29">
        <f t="shared" si="1"/>
        <v>0</v>
      </c>
      <c r="BI5" s="29">
        <f t="shared" si="1"/>
        <v>0</v>
      </c>
      <c r="BJ5" s="29">
        <f t="shared" si="1"/>
        <v>0</v>
      </c>
      <c r="BK5" s="29">
        <f t="shared" si="1"/>
        <v>0</v>
      </c>
      <c r="BL5" s="29">
        <f t="shared" si="1"/>
        <v>966</v>
      </c>
      <c r="BM5" s="29">
        <f t="shared" si="1"/>
        <v>200</v>
      </c>
      <c r="BN5" s="29">
        <f t="shared" si="1"/>
        <v>0</v>
      </c>
      <c r="BO5" s="29">
        <f t="shared" si="1"/>
        <v>20</v>
      </c>
      <c r="BP5" s="29">
        <f t="shared" si="1"/>
        <v>0</v>
      </c>
      <c r="BQ5" s="29">
        <f t="shared" si="1"/>
        <v>253</v>
      </c>
      <c r="BR5" s="29">
        <f t="shared" si="1"/>
        <v>493</v>
      </c>
      <c r="BS5" s="29">
        <f t="shared" si="1"/>
        <v>0</v>
      </c>
      <c r="BT5" s="30">
        <f t="shared" si="1"/>
        <v>0</v>
      </c>
    </row>
    <row r="6" spans="1:72" s="37" customFormat="1" ht="12.75">
      <c r="A6" s="26" t="s">
        <v>169</v>
      </c>
      <c r="B6" s="31"/>
      <c r="C6" s="31"/>
      <c r="D6" s="32"/>
      <c r="E6" s="27">
        <f>H6+AC6+AT6</f>
        <v>2708.59</v>
      </c>
      <c r="F6" s="27" t="s">
        <v>1</v>
      </c>
      <c r="G6" s="27" t="s">
        <v>2</v>
      </c>
      <c r="H6" s="33">
        <f>SUMIF(I$12:AB$12,"总值",I6:AB6)</f>
        <v>2431.3900000000003</v>
      </c>
      <c r="I6" s="27">
        <f t="shared" ref="I6:AB6" si="2">ROUND($A$3*I5/$B$3,2)</f>
        <v>1785.45</v>
      </c>
      <c r="J6" s="27">
        <f t="shared" si="2"/>
        <v>0</v>
      </c>
      <c r="K6" s="27">
        <f t="shared" si="2"/>
        <v>645.94000000000005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277.2</v>
      </c>
      <c r="AD6" s="27">
        <f t="shared" ref="AD6:AS6" si="3">ROUND($A$3*AD5/$B$3,2)</f>
        <v>57.39</v>
      </c>
      <c r="AE6" s="27">
        <f t="shared" si="3"/>
        <v>0</v>
      </c>
      <c r="AF6" s="27">
        <f t="shared" si="3"/>
        <v>0</v>
      </c>
      <c r="AG6" s="27">
        <f t="shared" si="3"/>
        <v>0</v>
      </c>
      <c r="AH6" s="27">
        <f t="shared" si="3"/>
        <v>5.74</v>
      </c>
      <c r="AI6" s="27">
        <f t="shared" si="3"/>
        <v>0</v>
      </c>
      <c r="AJ6" s="27">
        <f t="shared" si="3"/>
        <v>0</v>
      </c>
      <c r="AK6" s="27">
        <f t="shared" si="3"/>
        <v>0</v>
      </c>
      <c r="AL6" s="27">
        <f t="shared" si="3"/>
        <v>72.599999999999994</v>
      </c>
      <c r="AM6" s="27">
        <f t="shared" si="3"/>
        <v>0</v>
      </c>
      <c r="AN6" s="27">
        <f t="shared" si="3"/>
        <v>141.47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2708.59</v>
      </c>
      <c r="AZ6" s="27" t="s">
        <v>3</v>
      </c>
      <c r="BA6" s="27">
        <f>ROUND($AY$6*BA5/$AZ$5,2)</f>
        <v>2431.39</v>
      </c>
      <c r="BB6" s="27">
        <f>ROUND($AY$6*BB5/$AZ$5,2)</f>
        <v>1785.45</v>
      </c>
      <c r="BC6" s="27">
        <f t="shared" ref="BC6:BH6" si="4">ROUND($AY$6*BC5/$AZ$5,2)</f>
        <v>645.94000000000005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277.2</v>
      </c>
      <c r="BM6" s="27">
        <f t="shared" si="5"/>
        <v>57.39</v>
      </c>
      <c r="BN6" s="27">
        <f t="shared" si="5"/>
        <v>0</v>
      </c>
      <c r="BO6" s="27">
        <f t="shared" si="5"/>
        <v>5.74</v>
      </c>
      <c r="BP6" s="27">
        <f t="shared" si="5"/>
        <v>0</v>
      </c>
      <c r="BQ6" s="27">
        <f t="shared" si="5"/>
        <v>72.599999999999994</v>
      </c>
      <c r="BR6" s="27">
        <f t="shared" si="5"/>
        <v>141.47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3095</v>
      </c>
      <c r="J9" s="51"/>
      <c r="K9" s="3019" t="s">
        <v>3109</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923</v>
      </c>
      <c r="J10" s="51"/>
      <c r="K10" s="3021" t="s">
        <v>3110</v>
      </c>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t="s">
        <v>3096</v>
      </c>
      <c r="J11" s="71"/>
      <c r="K11" s="3020" t="s">
        <v>3110</v>
      </c>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t="s">
        <v>1679</v>
      </c>
      <c r="E13" s="27">
        <f t="shared" ref="E13:E20" si="6">IF($C$3="是",ROUND($A$3*G13/$B$3,2),ROUND($A$3*(G13-AT13)/$B$3,2))</f>
        <v>2708.59</v>
      </c>
      <c r="F13" s="81"/>
      <c r="G13" s="82">
        <f t="shared" ref="G13:G20" si="7">H13+AC13+AT13</f>
        <v>9439</v>
      </c>
      <c r="H13" s="33">
        <f t="shared" ref="H13:H20" si="8">SUMIF(I$12:AB$12,"总值",I13:AB13)</f>
        <v>8473</v>
      </c>
      <c r="I13" s="3018">
        <v>6222</v>
      </c>
      <c r="J13" s="3018"/>
      <c r="K13" s="3018">
        <v>2251</v>
      </c>
      <c r="L13" s="3018"/>
      <c r="M13" s="3018"/>
      <c r="N13" s="83"/>
      <c r="O13" s="83"/>
      <c r="P13" s="83"/>
      <c r="Q13" s="83"/>
      <c r="R13" s="83"/>
      <c r="S13" s="83"/>
      <c r="T13" s="83"/>
      <c r="U13" s="83"/>
      <c r="V13" s="83"/>
      <c r="W13" s="83"/>
      <c r="X13" s="83"/>
      <c r="Y13" s="83"/>
      <c r="Z13" s="83"/>
      <c r="AA13" s="83"/>
      <c r="AB13" s="83"/>
      <c r="AC13" s="27">
        <f t="shared" ref="AC13:AC20" si="9">SUMIF(AD$12:AS$12,"总值",AD13:AS13)</f>
        <v>966</v>
      </c>
      <c r="AD13" s="3022">
        <f>200</f>
        <v>200</v>
      </c>
      <c r="AE13" s="3022"/>
      <c r="AF13" s="3022"/>
      <c r="AG13" s="3022"/>
      <c r="AH13" s="3022">
        <v>20</v>
      </c>
      <c r="AI13" s="3022"/>
      <c r="AJ13" s="3022"/>
      <c r="AK13" s="3022"/>
      <c r="AL13" s="3022">
        <f>8+118+127</f>
        <v>253</v>
      </c>
      <c r="AM13" s="3022"/>
      <c r="AN13" s="3022">
        <f>493</f>
        <v>493</v>
      </c>
      <c r="AO13" s="3022"/>
      <c r="AP13" s="3022"/>
      <c r="AQ13" s="3022"/>
      <c r="AR13" s="3022"/>
      <c r="AS13" s="3022"/>
      <c r="AT13" s="3023"/>
      <c r="AU13" s="3024"/>
      <c r="AV13" s="17">
        <f t="shared" ref="AV13:AX20" si="10">A13</f>
        <v>0</v>
      </c>
      <c r="AW13" s="17">
        <f t="shared" si="10"/>
        <v>0</v>
      </c>
      <c r="AX13" s="17">
        <f t="shared" si="10"/>
        <v>0</v>
      </c>
      <c r="AY13" s="995">
        <f t="shared" ref="AY13:AY20" si="11">ROUND($AY$6*AZ13/$AZ$5,2)</f>
        <v>2708.59</v>
      </c>
      <c r="AZ13" s="27">
        <f t="shared" ref="AZ13:AZ20" si="12">BA13+BL13</f>
        <v>9439</v>
      </c>
      <c r="BA13" s="27">
        <f t="shared" ref="BA13:BA20" si="13">SUM(BB13:BK13)</f>
        <v>8473</v>
      </c>
      <c r="BB13" s="27">
        <f t="shared" ref="BB13:BB20" si="14">IF($D13="是",I13-J13,0)</f>
        <v>6222</v>
      </c>
      <c r="BC13" s="27">
        <f t="shared" ref="BC13:BC20" si="15">IF($D13="是",K13-L13,0)</f>
        <v>2251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966</v>
      </c>
      <c r="BM13" s="27">
        <f t="shared" ref="BM13:BM20" si="25">IF($D13="是",AD13-AE13,0)</f>
        <v>200</v>
      </c>
      <c r="BN13" s="27">
        <f t="shared" ref="BN13:BN20" si="26">IF($D13="是",AF13-AG13,0)</f>
        <v>0</v>
      </c>
      <c r="BO13" s="27">
        <f t="shared" ref="BO13:BO20" si="27">IF($D13="是",AH13-AI13,0)</f>
        <v>20</v>
      </c>
      <c r="BP13" s="27">
        <f t="shared" ref="BP13:BP20" si="28">IF($D13="是",AJ13-AK13,0)</f>
        <v>0</v>
      </c>
      <c r="BQ13" s="27">
        <f t="shared" ref="BQ13:BQ20" si="29">IF($D13="是",AL13-AM13,0)</f>
        <v>253</v>
      </c>
      <c r="BR13" s="27">
        <f t="shared" ref="BR13:BR20" si="30">IF($D13="是",AN13-AO13,0)</f>
        <v>493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7" sqref="I2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6" t="s">
        <v>203</v>
      </c>
      <c r="B2" s="3286"/>
      <c r="C2" s="3286"/>
      <c r="D2" s="1975" t="s">
        <v>204</v>
      </c>
      <c r="E2" s="106" t="s">
        <v>205</v>
      </c>
      <c r="F2" s="1984"/>
      <c r="G2" s="1197"/>
      <c r="H2" s="1198"/>
      <c r="I2" s="1199" t="s">
        <v>857</v>
      </c>
      <c r="J2" s="1984"/>
      <c r="K2" s="1984"/>
      <c r="L2" s="1984"/>
    </row>
    <row r="3" spans="1:16" ht="15.75" thickBot="1">
      <c r="A3" s="3287" t="s">
        <v>206</v>
      </c>
      <c r="B3" s="3287"/>
      <c r="C3" s="3287"/>
      <c r="D3" s="107">
        <f>'数据-基础表'!AY6</f>
        <v>2708.59</v>
      </c>
      <c r="E3" s="107">
        <f>'数据-基础表'!AZ5</f>
        <v>9439</v>
      </c>
      <c r="F3" s="1984"/>
      <c r="G3" s="279" t="s">
        <v>858</v>
      </c>
      <c r="H3" s="274" t="s">
        <v>859</v>
      </c>
      <c r="I3" s="1976">
        <f>ROUND('数据-基础表'!B3/'数据-基础表'!A3,2)</f>
        <v>3.48</v>
      </c>
      <c r="J3" s="1984"/>
      <c r="K3" s="1984"/>
      <c r="L3" s="1984"/>
    </row>
    <row r="4" spans="1:16" ht="15">
      <c r="A4" s="3288"/>
      <c r="B4" s="3289"/>
      <c r="C4" s="3290"/>
      <c r="D4" s="108" t="s">
        <v>204</v>
      </c>
      <c r="E4" s="109" t="s">
        <v>205</v>
      </c>
      <c r="F4" s="1984"/>
      <c r="G4" s="1200"/>
      <c r="H4" s="274" t="s">
        <v>860</v>
      </c>
      <c r="I4" s="1976">
        <f>ROUND(SUMIF('数据-基础表'!I9:AS9,"地上",'数据-基础表'!I5:AS5)/'数据-基础表'!A3,2)</f>
        <v>2.4700000000000002</v>
      </c>
      <c r="J4" s="1984"/>
      <c r="K4" s="1984"/>
      <c r="L4" s="1984"/>
    </row>
    <row r="5" spans="1:16">
      <c r="A5" s="110" t="s">
        <v>207</v>
      </c>
      <c r="B5" s="3291" t="s">
        <v>230</v>
      </c>
      <c r="C5" s="3291"/>
      <c r="D5" s="111">
        <f>ROUND($D$3*E5/$E$3,2)</f>
        <v>1785.45</v>
      </c>
      <c r="E5" s="112">
        <f>SUMIF('数据-基础表'!$11:$11,"住宅",'数据-基础表'!$5:$5)</f>
        <v>6222</v>
      </c>
      <c r="F5" s="1984"/>
      <c r="G5" s="279" t="s">
        <v>861</v>
      </c>
      <c r="H5" s="274" t="s">
        <v>859</v>
      </c>
      <c r="I5" s="1976">
        <f>ROUND(E31/D31,2)</f>
        <v>3.48</v>
      </c>
      <c r="J5" s="1984"/>
      <c r="K5" s="1984"/>
      <c r="L5" s="1984"/>
    </row>
    <row r="6" spans="1:16" ht="15" thickBot="1">
      <c r="A6" s="113"/>
      <c r="B6" s="3291" t="s">
        <v>208</v>
      </c>
      <c r="C6" s="3291"/>
      <c r="D6" s="111">
        <f>ROUND($D$3*E6/$E$3,2)</f>
        <v>923.14</v>
      </c>
      <c r="E6" s="112">
        <f>E3-E5</f>
        <v>3217</v>
      </c>
      <c r="F6" s="1984"/>
      <c r="G6" s="1200"/>
      <c r="H6" s="274" t="s">
        <v>860</v>
      </c>
      <c r="I6" s="1976">
        <f>ROUND(F31/D31,2)</f>
        <v>2.4700000000000002</v>
      </c>
      <c r="J6" s="1984"/>
      <c r="K6" s="1984"/>
      <c r="L6" s="1984"/>
    </row>
    <row r="7" spans="1:16" ht="15">
      <c r="A7" s="3283"/>
      <c r="B7" s="3284"/>
      <c r="C7" s="3285"/>
      <c r="D7" s="108" t="s">
        <v>204</v>
      </c>
      <c r="E7" s="114" t="s">
        <v>231</v>
      </c>
      <c r="F7" s="1984"/>
      <c r="G7" s="1155" t="s">
        <v>1646</v>
      </c>
      <c r="H7" s="1156"/>
      <c r="I7" s="1846">
        <f>ROUND(6450/'数据-基础表'!A3,2)</f>
        <v>2.38</v>
      </c>
      <c r="J7" s="1984"/>
      <c r="K7" s="1984"/>
      <c r="L7" s="1984"/>
    </row>
    <row r="8" spans="1:16">
      <c r="A8" s="110" t="s">
        <v>209</v>
      </c>
      <c r="B8" s="115" t="s">
        <v>210</v>
      </c>
      <c r="C8" s="111" t="s">
        <v>211</v>
      </c>
      <c r="D8" s="111">
        <f t="shared" ref="D8:D15" si="0">ROUND($D$3*E8/$E$3,2)</f>
        <v>1785.45</v>
      </c>
      <c r="E8" s="116">
        <f>SUMIF('数据-基础表'!BB10:BK10,"地上",'数据-基础表'!BB5:BK5)</f>
        <v>6222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645.94000000000005</v>
      </c>
      <c r="E13" s="116">
        <f>SUMPRODUCT(('数据-基础表'!BB10:BK10="地下")*('数据-基础表'!BB11:BK11="车库")*('数据-基础表'!BB5:BK5))</f>
        <v>2251</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2431.3900000000003</v>
      </c>
      <c r="E16" s="120">
        <f>SUM(E8:E15)</f>
        <v>8473</v>
      </c>
      <c r="F16" s="1984"/>
      <c r="G16" s="1986"/>
      <c r="H16" s="967" t="s">
        <v>219</v>
      </c>
      <c r="I16" s="968"/>
      <c r="J16" s="1984"/>
      <c r="K16" s="3277" t="s">
        <v>2569</v>
      </c>
      <c r="L16" s="3278"/>
      <c r="M16" s="3278"/>
      <c r="N16" s="3278"/>
      <c r="O16" s="3278"/>
      <c r="P16" s="3279"/>
    </row>
    <row r="17" spans="1:19" ht="15">
      <c r="A17" s="121" t="s">
        <v>216</v>
      </c>
      <c r="B17" s="122" t="s">
        <v>217</v>
      </c>
      <c r="C17" s="2298" t="s">
        <v>2316</v>
      </c>
      <c r="D17" s="108" t="s">
        <v>204</v>
      </c>
      <c r="E17" s="124" t="s">
        <v>205</v>
      </c>
      <c r="F17" s="125"/>
      <c r="G17" s="1365"/>
      <c r="H17" s="969" t="s">
        <v>218</v>
      </c>
      <c r="I17" s="970" t="s">
        <v>2315</v>
      </c>
      <c r="J17" s="1984"/>
      <c r="K17" s="3280" t="s">
        <v>2570</v>
      </c>
      <c r="L17" s="3281"/>
      <c r="M17" s="3282"/>
      <c r="N17" s="3280" t="s">
        <v>2571</v>
      </c>
      <c r="O17" s="3281"/>
      <c r="P17" s="3282"/>
      <c r="R17" s="2299" t="s">
        <v>2314</v>
      </c>
      <c r="S17" s="144"/>
    </row>
    <row r="18" spans="1:19" ht="15">
      <c r="A18" s="117"/>
      <c r="B18" s="128"/>
      <c r="C18" s="129"/>
      <c r="D18" s="2642"/>
      <c r="E18" s="130" t="s">
        <v>220</v>
      </c>
      <c r="F18" s="131" t="s">
        <v>221</v>
      </c>
      <c r="G18" s="1366" t="s">
        <v>222</v>
      </c>
      <c r="H18" s="971" t="s">
        <v>223</v>
      </c>
      <c r="I18" s="972"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3097</v>
      </c>
      <c r="D19" s="111">
        <f t="shared" ref="D19:D26" si="1">ROUND($D$3*E19/$E$3,2)</f>
        <v>1785.45</v>
      </c>
      <c r="E19" s="134">
        <f t="shared" ref="E19:E26" si="2">SUM(F19:G19)</f>
        <v>6222</v>
      </c>
      <c r="F19" s="135">
        <f>'数据-基础表'!I13</f>
        <v>6222</v>
      </c>
      <c r="G19" s="1367"/>
      <c r="H19" s="973">
        <f>ROUND($D$3*I19/$E$3,2)</f>
        <v>220.33</v>
      </c>
      <c r="I19" s="116">
        <f>IF($I$17="自定义",P19,M19)</f>
        <v>767.81</v>
      </c>
      <c r="J19" s="1984"/>
      <c r="K19" s="2608">
        <f t="shared" ref="K19:K26" si="3">ROUND(E$28*E19/E$27,2)</f>
        <v>547.80999999999995</v>
      </c>
      <c r="L19" s="274">
        <f t="shared" ref="L19:L26" si="4">ROUND(IF(COUNTIF(C19,"*住宅*")&gt;0,E$29*E19/E$32,0),2)</f>
        <v>220</v>
      </c>
      <c r="M19" s="2609">
        <f>K19+L19</f>
        <v>767.81</v>
      </c>
      <c r="N19" s="2610"/>
      <c r="O19" s="2611"/>
      <c r="P19" s="2612">
        <f>N19+O19</f>
        <v>0</v>
      </c>
      <c r="R19" s="274">
        <f t="shared" ref="R19:S26" si="5">D19+H19</f>
        <v>2005.78</v>
      </c>
      <c r="S19" s="2301">
        <f t="shared" si="5"/>
        <v>6989.8099999999995</v>
      </c>
    </row>
    <row r="20" spans="1:19">
      <c r="A20" s="138"/>
      <c r="B20" s="115" t="s">
        <v>226</v>
      </c>
      <c r="C20" s="3025" t="s">
        <v>3111</v>
      </c>
      <c r="D20" s="111">
        <f t="shared" si="1"/>
        <v>645.94000000000005</v>
      </c>
      <c r="E20" s="134">
        <f t="shared" si="2"/>
        <v>2251</v>
      </c>
      <c r="F20" s="135"/>
      <c r="G20" s="1367">
        <f>'数据-基础表'!K13</f>
        <v>2251</v>
      </c>
      <c r="H20" s="973">
        <f t="shared" ref="H20:H26" si="6">ROUND($D$3*I20/$E$3,2)</f>
        <v>56.87</v>
      </c>
      <c r="I20" s="116">
        <f t="shared" ref="I20:I26" si="7">IF($I$17="自定义",P20,M20)</f>
        <v>198.19</v>
      </c>
      <c r="J20" s="1984"/>
      <c r="K20" s="2608">
        <f t="shared" si="3"/>
        <v>198.19</v>
      </c>
      <c r="L20" s="274">
        <f t="shared" si="4"/>
        <v>0</v>
      </c>
      <c r="M20" s="2609">
        <f t="shared" ref="M20:M26" si="8">K20+L20</f>
        <v>198.19</v>
      </c>
      <c r="N20" s="2610"/>
      <c r="O20" s="2611"/>
      <c r="P20" s="2612">
        <f t="shared" ref="P20:P26" si="9">N20+O20</f>
        <v>0</v>
      </c>
      <c r="R20" s="274">
        <f t="shared" si="5"/>
        <v>702.81000000000006</v>
      </c>
      <c r="S20" s="2301">
        <f t="shared" si="5"/>
        <v>2449.19</v>
      </c>
    </row>
    <row r="21" spans="1:19">
      <c r="A21" s="138"/>
      <c r="B21" s="115" t="s">
        <v>226</v>
      </c>
      <c r="C21" s="3025"/>
      <c r="D21" s="111">
        <f t="shared" si="1"/>
        <v>0</v>
      </c>
      <c r="E21" s="134">
        <f t="shared" si="2"/>
        <v>0</v>
      </c>
      <c r="F21" s="135"/>
      <c r="G21" s="1367"/>
      <c r="H21" s="973">
        <f t="shared" si="6"/>
        <v>0</v>
      </c>
      <c r="I21" s="116">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79">
        <f t="shared" si="4"/>
        <v>0</v>
      </c>
      <c r="M26" s="146">
        <f t="shared" si="8"/>
        <v>0</v>
      </c>
      <c r="N26" s="2614"/>
      <c r="O26" s="2615"/>
      <c r="P26" s="2616">
        <f t="shared" si="9"/>
        <v>0</v>
      </c>
      <c r="R26" s="274">
        <f t="shared" si="5"/>
        <v>0</v>
      </c>
      <c r="S26" s="2301">
        <f t="shared" si="5"/>
        <v>0</v>
      </c>
    </row>
    <row r="27" spans="1:19" ht="15.75" thickBot="1">
      <c r="A27" s="138"/>
      <c r="B27" s="111"/>
      <c r="C27" s="127" t="s">
        <v>215</v>
      </c>
      <c r="D27" s="134">
        <f>SUM(D19:D26)</f>
        <v>2431.3900000000003</v>
      </c>
      <c r="E27" s="143">
        <f>IF(SUM(E19:E26)='数据-基础表'!BA5,SUM(E19:E26),IF(F27="地上面积有误","面积有误","地下面积有误"))</f>
        <v>8473</v>
      </c>
      <c r="F27" s="134">
        <f>IF(SUM(F19:F26)=E8,SUM(F19:F26),"地上面积有误")</f>
        <v>6222</v>
      </c>
      <c r="G27" s="112">
        <f>SUM(G19:G26)</f>
        <v>2251</v>
      </c>
      <c r="H27" s="974">
        <f>SUM(H19:H26)</f>
        <v>277.2</v>
      </c>
      <c r="I27" s="975">
        <f>SUM(I19:I26)</f>
        <v>966</v>
      </c>
      <c r="J27" s="1984"/>
      <c r="K27" s="2617">
        <f>SUM(K19:K26)</f>
        <v>746</v>
      </c>
      <c r="L27" s="2618">
        <f>SUM(L19:L26)</f>
        <v>220</v>
      </c>
      <c r="M27" s="2619">
        <f>SUM(M19:M26)</f>
        <v>966</v>
      </c>
      <c r="N27" s="2617">
        <f t="shared" ref="N27:O27" si="10">SUM(N19:N26)</f>
        <v>0</v>
      </c>
      <c r="O27" s="2618">
        <f t="shared" si="10"/>
        <v>0</v>
      </c>
      <c r="P27" s="2620">
        <f>SUM(P19:P26)</f>
        <v>0</v>
      </c>
      <c r="R27" s="2305">
        <f>IF(SUM(R19:R26)=$D$3,SUM(R19:R26),SUM(R19:R26)&amp;"误差"&amp;ROUND(SUM(R19:R26)-$D$3,2))</f>
        <v>2708.59</v>
      </c>
      <c r="S27" s="274">
        <f>IF(SUM(S19:S26)=$E$3,SUM(S19:S26),SUM(S19:S26)&amp;"误差"&amp;ROUND(SUM(S19:S26)-E3,2))</f>
        <v>9439</v>
      </c>
    </row>
    <row r="28" spans="1:19">
      <c r="A28" s="138"/>
      <c r="B28" s="115" t="s">
        <v>227</v>
      </c>
      <c r="C28" s="136" t="s">
        <v>228</v>
      </c>
      <c r="D28" s="111">
        <f>ROUND($D$3*E28/$E$3,2)</f>
        <v>214.07</v>
      </c>
      <c r="E28" s="134">
        <f>SUM(F28:G28)</f>
        <v>746</v>
      </c>
      <c r="F28" s="144">
        <f>'数据-基础表'!BQ5+'数据-基础表'!BS5</f>
        <v>253</v>
      </c>
      <c r="G28" s="145">
        <f>'数据-基础表'!BR5+'数据-基础表'!BT5</f>
        <v>493</v>
      </c>
      <c r="H28" s="1984"/>
      <c r="I28" s="1984"/>
      <c r="J28" s="1984"/>
      <c r="K28" s="1984"/>
      <c r="L28" s="1984"/>
    </row>
    <row r="29" spans="1:19">
      <c r="A29" s="138"/>
      <c r="B29" s="115" t="s">
        <v>227</v>
      </c>
      <c r="C29" s="2313" t="s">
        <v>2323</v>
      </c>
      <c r="D29" s="111">
        <f>ROUND($D$3*E29/$E$3,2)</f>
        <v>63.13</v>
      </c>
      <c r="E29" s="134">
        <f>SUM(F29:G29)</f>
        <v>220</v>
      </c>
      <c r="F29" s="144">
        <f>'数据-基础表'!BM5+'数据-基础表'!BO5</f>
        <v>220</v>
      </c>
      <c r="G29" s="146">
        <f>'数据-基础表'!BN5+'数据-基础表'!BP5</f>
        <v>0</v>
      </c>
      <c r="H29" s="1984"/>
      <c r="I29" s="1984"/>
      <c r="J29" s="1984"/>
      <c r="K29" s="1984"/>
      <c r="L29" s="1984"/>
    </row>
    <row r="30" spans="1:19">
      <c r="A30" s="138"/>
      <c r="B30" s="111"/>
      <c r="C30" s="147" t="s">
        <v>215</v>
      </c>
      <c r="D30" s="134">
        <f>SUM(D28:D29)</f>
        <v>277.2</v>
      </c>
      <c r="E30" s="134">
        <f>SUM(E28:E29)</f>
        <v>966</v>
      </c>
      <c r="F30" s="134">
        <f>SUM(F28:F29)</f>
        <v>473</v>
      </c>
      <c r="G30" s="112">
        <f>SUM(G28:G29)</f>
        <v>493</v>
      </c>
      <c r="H30" s="1984"/>
      <c r="I30" s="1984"/>
      <c r="J30" s="1984"/>
      <c r="K30" s="1984"/>
      <c r="L30" s="1984"/>
    </row>
    <row r="31" spans="1:19" ht="32.25" customHeight="1" thickBot="1">
      <c r="A31" s="1369"/>
      <c r="B31" s="1370" t="s">
        <v>229</v>
      </c>
      <c r="C31" s="2330" t="s">
        <v>2325</v>
      </c>
      <c r="D31" s="1371">
        <f>D27+D30</f>
        <v>2708.59</v>
      </c>
      <c r="E31" s="1371">
        <f>E27+E30</f>
        <v>9439</v>
      </c>
      <c r="F31" s="1372">
        <f>F27+F30</f>
        <v>6695</v>
      </c>
      <c r="G31" s="1373">
        <f>G27+G30</f>
        <v>2744</v>
      </c>
      <c r="H31" s="1984"/>
      <c r="I31" s="1984"/>
      <c r="J31" s="1984"/>
      <c r="K31" s="1984"/>
      <c r="L31" s="1984"/>
    </row>
    <row r="32" spans="1:19">
      <c r="A32" s="1984"/>
      <c r="B32" s="2363" t="s">
        <v>2324</v>
      </c>
      <c r="C32" s="2647"/>
      <c r="D32" s="1200"/>
      <c r="E32" s="1200">
        <f>SUMIF(C19:C26,"*住宅*",E19:E26)</f>
        <v>6222</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X7" sqref="X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43316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61649</v>
      </c>
      <c r="F6" s="174">
        <f>SUMIF(项目基本情况!D$15:I$15,C6,项目基本情况!D$19:I$19)</f>
        <v>50.22</v>
      </c>
      <c r="G6" s="175">
        <f>IF(ISERROR(ROUND(POWER(1+H6,D6-F6)*(POWER(1+H6,F6)-1)/(POWER(1+H6,D6)-1),3)),0,ROUND(POWER(1+H6,D6-F6)*(POWER(1+H6,F6)-1)/(POWER(1+H6,D6)-1),3))</f>
        <v>0.93300000000000005</v>
      </c>
      <c r="H6" s="3026">
        <v>4.4999999999999998E-2</v>
      </c>
      <c r="I6" s="3026">
        <v>0.05</v>
      </c>
      <c r="J6" s="176">
        <v>8.5000000000000006E-2</v>
      </c>
      <c r="K6" s="179">
        <f>SUMIF('数据-汇总表'!C$19:C$33,'数据-取费表'!A6,'数据-汇总表'!E$19:E$33)</f>
        <v>6222</v>
      </c>
      <c r="L6" s="3200">
        <v>3000</v>
      </c>
      <c r="M6" s="177">
        <f t="shared" ref="M6:M14" si="0">ROUND(K6*L6/10000,0)</f>
        <v>1867</v>
      </c>
      <c r="N6" s="3028">
        <v>0</v>
      </c>
      <c r="O6" s="177">
        <f>IF($N$5="成新度","——",ROUND(M6*N6,0))</f>
        <v>0</v>
      </c>
      <c r="P6" s="178">
        <f>IF($N$5="成新度","——",M6-O6)</f>
        <v>1867</v>
      </c>
      <c r="Q6" s="3201">
        <v>0.1</v>
      </c>
      <c r="R6" s="179">
        <f>SUMIF('数据-汇总表'!C$19:C$33,A6,'数据-汇总表'!R$19:R$33)</f>
        <v>2005.78</v>
      </c>
      <c r="S6" s="132">
        <f>IF('数据-汇总表'!$I$17="按面积比例",SUMIF('数据-汇总表'!C$19:C$33,A6,'数据-汇总表'!K$19:K$33),SUMIF('数据-汇总表'!C$19:C$33,A6,'数据-汇总表'!N$19:N$33))</f>
        <v>547.80999999999995</v>
      </c>
      <c r="T6" s="2234">
        <f>IF($T$4="按面积比例",IF(ISERROR(ROUND($M$14*S6/S$16,0)),"0",ROUND($M$14*S6/S$16,0)),"需自行计算录入")</f>
        <v>98</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0.89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车库</v>
      </c>
      <c r="B7" s="2337" t="str">
        <f t="shared" ref="B7:B13" si="1">IF(A7=0,"","经营性")</f>
        <v>经营性</v>
      </c>
      <c r="C7" s="173" t="s">
        <v>3110</v>
      </c>
      <c r="D7" s="2308">
        <f>SUMIF(项目基本情况!D$15:I$15,C7,项目基本情况!D$18:I$18)</f>
        <v>50</v>
      </c>
      <c r="E7" s="2309">
        <f>IF(B7="","",SUMIF(项目基本情况!D$15:I$15,C7,项目基本情况!D$17:I$17))</f>
        <v>54344</v>
      </c>
      <c r="F7" s="174">
        <f>SUMIF(项目基本情况!D$15:I$15,C7,项目基本情况!D$19:I$19)</f>
        <v>30.21</v>
      </c>
      <c r="G7" s="175">
        <f t="shared" ref="G7:G11" si="2">IF(ISERROR(ROUND(POWER(1+H7,D7-F7)*(POWER(1+H7,F7)-1)/(POWER(1+H7,D7)-1),3)),0,ROUND(POWER(1+H7,D7-F7)*(POWER(1+H7,F7)-1)/(POWER(1+H7,D7)-1),3))</f>
        <v>0.80800000000000005</v>
      </c>
      <c r="H7" s="3026">
        <v>0.04</v>
      </c>
      <c r="I7" s="3026">
        <v>4.4999999999999998E-2</v>
      </c>
      <c r="J7" s="176">
        <v>8.5000000000000006E-2</v>
      </c>
      <c r="K7" s="179">
        <f>SUMIF('数据-汇总表'!C$19:C$33,'数据-取费表'!A7,'数据-汇总表'!E$19:E$33)</f>
        <v>2251</v>
      </c>
      <c r="L7" s="3200">
        <v>2200</v>
      </c>
      <c r="M7" s="177">
        <f t="shared" si="0"/>
        <v>495</v>
      </c>
      <c r="N7" s="3028">
        <v>0</v>
      </c>
      <c r="O7" s="177">
        <f t="shared" ref="O7:O14" si="3">IF($N$5="成新度","——",ROUND(M7*N7,0))</f>
        <v>0</v>
      </c>
      <c r="P7" s="178">
        <f t="shared" ref="P7:P14" si="4">IF($N$5="成新度","——",M7-O7)</f>
        <v>495</v>
      </c>
      <c r="Q7" s="3201">
        <v>0.03</v>
      </c>
      <c r="R7" s="179">
        <f>SUMIF('数据-汇总表'!C$19:C$33,A7,'数据-汇总表'!R$19:R$33)</f>
        <v>702.81000000000006</v>
      </c>
      <c r="S7" s="132">
        <f>IF('数据-汇总表'!$I$17="按面积比例",SUMIF('数据-汇总表'!C$19:C$33,A7,'数据-汇总表'!K$19:K$33),SUMIF('数据-汇总表'!C$19:C$33,A7,'数据-汇总表'!N$19:N$33))</f>
        <v>198.19</v>
      </c>
      <c r="T7" s="2234">
        <f t="shared" ref="T7:T13" si="5">IF($T$4="按面积比例",IF(ISERROR(ROUND($M$14*S7/S$16,0)),"0",ROUND($M$14*S7/S$16,0)),"需自行计算录入")</f>
        <v>36</v>
      </c>
      <c r="U7" s="3202">
        <v>800</v>
      </c>
      <c r="V7" s="3203">
        <v>0.02</v>
      </c>
      <c r="W7" s="181">
        <v>0.1</v>
      </c>
      <c r="X7" s="2321"/>
      <c r="Y7" s="182">
        <v>1</v>
      </c>
      <c r="Z7" s="183"/>
      <c r="AA7" s="176"/>
      <c r="AB7" s="176"/>
      <c r="AC7" s="2324"/>
      <c r="AD7" s="184"/>
      <c r="AE7" s="971">
        <f t="shared" ref="AE7:AE13" ca="1" si="6">IF(AN7="",0,SUMIF(INDIRECT("'"&amp;AN7&amp;"'"&amp;"!E:E"),$AE$5,INDIRECT("'"&amp;AN7&amp;"'"&amp;"!F:F")))</f>
        <v>28.71</v>
      </c>
      <c r="AF7" s="141"/>
      <c r="AG7" s="1212">
        <f t="shared" ref="AG7:AG13" si="7">IF(AF7="",0,AE7-AF7)</f>
        <v>0</v>
      </c>
      <c r="AH7" s="141">
        <v>46</v>
      </c>
      <c r="AI7" s="187">
        <v>12</v>
      </c>
      <c r="AJ7" s="188"/>
      <c r="AK7" s="196">
        <v>0.01</v>
      </c>
      <c r="AL7" s="197">
        <v>1E-3</v>
      </c>
      <c r="AM7" s="1817">
        <v>0.01</v>
      </c>
      <c r="AN7" s="2392" t="s">
        <v>3143</v>
      </c>
      <c r="AO7" s="2000"/>
      <c r="AP7" s="1203">
        <f t="shared" ref="AP7:AP13" si="8">ROUND(1-1/(1+H7)^F7,3)</f>
        <v>0.69399999999999995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1680</v>
      </c>
      <c r="C14" s="2307" t="s">
        <v>2317</v>
      </c>
      <c r="D14" s="2308"/>
      <c r="E14" s="2309"/>
      <c r="F14" s="174"/>
      <c r="G14" s="175"/>
      <c r="H14" s="2310"/>
      <c r="I14" s="2310"/>
      <c r="J14" s="2310"/>
      <c r="K14" s="179">
        <f>SUMIF('数据-汇总表'!C$19:C$33,'数据-取费表'!A14,'数据-汇总表'!E$19:E$33)</f>
        <v>746</v>
      </c>
      <c r="L14" s="193">
        <v>1800</v>
      </c>
      <c r="M14" s="177">
        <f t="shared" si="0"/>
        <v>134</v>
      </c>
      <c r="N14" s="194">
        <v>0</v>
      </c>
      <c r="O14" s="177">
        <f t="shared" si="3"/>
        <v>0</v>
      </c>
      <c r="P14" s="178">
        <f t="shared" si="4"/>
        <v>134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1680</v>
      </c>
      <c r="C15" s="2307" t="s">
        <v>2318</v>
      </c>
      <c r="D15" s="2308"/>
      <c r="E15" s="2309"/>
      <c r="F15" s="174"/>
      <c r="G15" s="175"/>
      <c r="H15" s="2310"/>
      <c r="I15" s="2310"/>
      <c r="J15" s="2310"/>
      <c r="K15" s="179">
        <f>SUMIF('数据-汇总表'!C$19:C$33,'数据-取费表'!A15,'数据-汇总表'!E$19:E$33)</f>
        <v>220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v>
      </c>
      <c r="H16" s="203">
        <f>ROUND(SUMPRODUCT(H6:H13,K6:K13)/SUMPRODUCT((H6:H13&gt;0)*(K6:K13)),3)</f>
        <v>4.3999999999999997E-2</v>
      </c>
      <c r="I16" s="204"/>
      <c r="J16" s="204"/>
      <c r="K16" s="205">
        <f>SUM(K6:K15)</f>
        <v>9439</v>
      </c>
      <c r="L16" s="206">
        <f>ROUND(M16*10000/SUM(K6:K14),0)</f>
        <v>2707</v>
      </c>
      <c r="M16" s="206">
        <f>SUM(M6:M14)</f>
        <v>2496</v>
      </c>
      <c r="N16" s="207">
        <f>ROUND(SUMPRODUCT(M6:M14,N6:N14)/M16,3)</f>
        <v>0</v>
      </c>
      <c r="O16" s="206">
        <f>SUM(O6:O14)</f>
        <v>0</v>
      </c>
      <c r="P16" s="206">
        <f>SUM(P6:P14)</f>
        <v>2496</v>
      </c>
      <c r="Q16" s="208">
        <f>ROUND(SUMPRODUCT(Q6:Q13,K6:K13)/SUMPRODUCT((Q6:Q13&gt;0)*(K6:K13)),2)</f>
        <v>0.08</v>
      </c>
      <c r="R16" s="2311">
        <f>SUM(R6:R13)</f>
        <v>2708.59</v>
      </c>
      <c r="S16" s="209">
        <f>SUM(S6:S13)</f>
        <v>746</v>
      </c>
      <c r="T16" s="210">
        <f>IF(SUMIF(T6:T13,"&lt;9E307")=M14,SUMIF(T6:T13,"&lt;9E307"),"有误，请检查")</f>
        <v>134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0.83799999999999997</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99">
        <v>1.5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2341</v>
      </c>
      <c r="B27" s="227">
        <f>1800*0.105</f>
        <v>189</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2342</v>
      </c>
      <c r="B28" s="229">
        <f>B27</f>
        <v>189</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2340</v>
      </c>
      <c r="B29" s="3190">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2">
        <v>0.05</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3">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3198">
        <v>0.01</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09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0" t="s">
        <v>1097</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6</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2" t="s">
        <v>1664</v>
      </c>
      <c r="B1" s="3293"/>
      <c r="C1" s="3293"/>
      <c r="D1" s="3293"/>
      <c r="E1" s="3293"/>
      <c r="F1" s="3293"/>
      <c r="G1" s="3293"/>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42.75">
      <c r="A3" s="1226" t="s">
        <v>1667</v>
      </c>
      <c r="B3" s="1227" t="s">
        <v>1654</v>
      </c>
      <c r="C3" s="3183" t="s">
        <v>3180</v>
      </c>
      <c r="D3" s="2009"/>
      <c r="E3" s="1228" t="s">
        <v>1667</v>
      </c>
      <c r="F3" s="1229" t="s">
        <v>1655</v>
      </c>
      <c r="G3" s="3083" t="s">
        <v>2923</v>
      </c>
      <c r="H3" s="2008"/>
      <c r="I3" s="2008"/>
      <c r="J3" s="2008"/>
      <c r="K3" s="2008"/>
      <c r="L3" s="2008"/>
      <c r="M3" s="2008"/>
      <c r="N3" s="2008"/>
      <c r="O3" s="2008"/>
      <c r="P3" s="2008"/>
      <c r="Q3" s="2008"/>
      <c r="R3" s="2008"/>
    </row>
    <row r="4" spans="1:18" ht="40.5">
      <c r="A4" s="1228"/>
      <c r="B4" s="1230" t="s">
        <v>1668</v>
      </c>
      <c r="C4" s="3184"/>
      <c r="D4" s="2009"/>
      <c r="E4" s="1231"/>
      <c r="F4" s="1232" t="s">
        <v>1669</v>
      </c>
      <c r="G4" s="3082" t="s">
        <v>2920</v>
      </c>
      <c r="H4" s="2008"/>
      <c r="I4" s="2008"/>
      <c r="J4" s="2008"/>
      <c r="K4" s="2008"/>
      <c r="L4" s="2008"/>
      <c r="M4" s="2008"/>
      <c r="N4" s="2008"/>
      <c r="O4" s="2008"/>
      <c r="P4" s="2008"/>
      <c r="Q4" s="2008"/>
      <c r="R4" s="2008"/>
    </row>
    <row r="5" spans="1:18" ht="27">
      <c r="A5" s="1228"/>
      <c r="B5" s="1230" t="s">
        <v>1670</v>
      </c>
      <c r="C5" s="3184"/>
      <c r="D5" s="2009"/>
      <c r="E5" s="1231"/>
      <c r="F5" s="1230" t="s">
        <v>2549</v>
      </c>
      <c r="G5" s="3082" t="s">
        <v>2921</v>
      </c>
      <c r="H5" s="2008"/>
      <c r="I5" s="2008"/>
      <c r="J5" s="2008"/>
      <c r="K5" s="2008"/>
      <c r="L5" s="2008"/>
      <c r="M5" s="2008"/>
      <c r="N5" s="2008"/>
      <c r="O5" s="2008"/>
      <c r="P5" s="2008"/>
      <c r="Q5" s="2008"/>
      <c r="R5" s="2008"/>
    </row>
    <row r="6" spans="1:18" ht="27">
      <c r="A6" s="1228"/>
      <c r="B6" s="1230" t="s">
        <v>1656</v>
      </c>
      <c r="C6" s="3185" t="s">
        <v>3112</v>
      </c>
      <c r="D6" s="2009"/>
      <c r="E6" s="1231"/>
      <c r="F6" s="1230" t="s">
        <v>2550</v>
      </c>
      <c r="G6" s="3082" t="s">
        <v>2919</v>
      </c>
      <c r="H6" s="2008"/>
      <c r="I6" s="2008"/>
      <c r="J6" s="2008"/>
      <c r="K6" s="2008"/>
      <c r="L6" s="2008"/>
      <c r="M6" s="2008"/>
      <c r="N6" s="2008"/>
      <c r="O6" s="2008"/>
      <c r="P6" s="2008"/>
      <c r="Q6" s="2008"/>
      <c r="R6" s="2008"/>
    </row>
    <row r="7" spans="1:18" ht="41.25" thickBot="1">
      <c r="A7" s="1228"/>
      <c r="B7" s="1230" t="s">
        <v>2549</v>
      </c>
      <c r="C7" s="3185" t="s">
        <v>3113</v>
      </c>
      <c r="D7" s="2010"/>
      <c r="E7" s="1233"/>
      <c r="F7" s="1234" t="s">
        <v>1671</v>
      </c>
      <c r="G7" s="3084" t="s">
        <v>2922</v>
      </c>
      <c r="H7" s="2008"/>
      <c r="I7" s="2008"/>
      <c r="J7" s="2008"/>
      <c r="K7" s="2008"/>
      <c r="L7" s="2008"/>
      <c r="M7" s="2008"/>
      <c r="N7" s="2008"/>
      <c r="O7" s="2008"/>
      <c r="P7" s="2008"/>
      <c r="Q7" s="2008"/>
      <c r="R7" s="2008"/>
    </row>
    <row r="8" spans="1:18">
      <c r="A8" s="1228"/>
      <c r="B8" s="1230" t="s">
        <v>2550</v>
      </c>
      <c r="C8" s="3185" t="s">
        <v>3114</v>
      </c>
      <c r="D8" s="2010"/>
      <c r="E8" s="2010"/>
      <c r="F8" s="1553"/>
      <c r="G8" s="1553"/>
      <c r="H8" s="2008"/>
      <c r="I8" s="2008"/>
      <c r="J8" s="2008"/>
      <c r="K8" s="2008"/>
      <c r="L8" s="2008"/>
      <c r="M8" s="2008"/>
      <c r="N8" s="2008"/>
      <c r="O8" s="2008"/>
      <c r="P8" s="2008"/>
      <c r="Q8" s="2008"/>
      <c r="R8" s="2008"/>
    </row>
    <row r="9" spans="1:18">
      <c r="A9" s="1228"/>
      <c r="B9" s="1230" t="s">
        <v>1657</v>
      </c>
      <c r="C9" s="3186" t="s">
        <v>3113</v>
      </c>
      <c r="D9" s="2009"/>
      <c r="E9" s="2010"/>
      <c r="F9" s="1553"/>
      <c r="G9" s="1553"/>
      <c r="H9" s="2008"/>
      <c r="I9" s="2008"/>
      <c r="J9" s="2008"/>
      <c r="K9" s="2008"/>
      <c r="L9" s="2008"/>
      <c r="M9" s="2008"/>
      <c r="N9" s="2008"/>
      <c r="O9" s="2008"/>
      <c r="P9" s="2008"/>
      <c r="Q9" s="2008"/>
      <c r="R9" s="2008"/>
    </row>
    <row r="10" spans="1:18" s="2016" customFormat="1" ht="14.25" thickBot="1">
      <c r="A10" s="1235"/>
      <c r="B10" s="1236" t="s">
        <v>1672</v>
      </c>
      <c r="C10" s="3187" t="s">
        <v>3116</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40.5">
      <c r="A15" s="2588" t="s">
        <v>1658</v>
      </c>
      <c r="B15" s="1241" t="s">
        <v>1654</v>
      </c>
      <c r="C15" s="1242" t="str">
        <f>C3</f>
        <v>较好</v>
      </c>
      <c r="D15" s="2009"/>
      <c r="E15" s="2585" t="s">
        <v>1659</v>
      </c>
      <c r="F15" s="1241" t="s">
        <v>1674</v>
      </c>
      <c r="G15" s="1243" t="str">
        <f>G3</f>
        <v>估价对象位于XX开发区，园区建设成熟度XX，产业集聚程度XX</v>
      </c>
    </row>
    <row r="16" spans="1:18" ht="40.5">
      <c r="A16" s="2589"/>
      <c r="B16" s="1244" t="s">
        <v>1668</v>
      </c>
      <c r="C16" s="1245">
        <f>C4</f>
        <v>0</v>
      </c>
      <c r="D16" s="2009"/>
      <c r="E16" s="2586"/>
      <c r="F16" s="1246" t="s">
        <v>1669</v>
      </c>
      <c r="G16" s="1004" t="str">
        <f>G4</f>
        <v>估价对象周边道路状况、公共交通通达情况、停车便捷程度，综合评价交通便捷度较好</v>
      </c>
    </row>
    <row r="17" spans="1:7" ht="14.25">
      <c r="A17" s="2589"/>
      <c r="B17" s="1244" t="s">
        <v>1670</v>
      </c>
      <c r="C17" s="1245">
        <f>C5</f>
        <v>0</v>
      </c>
      <c r="D17" s="2010"/>
      <c r="E17" s="2586"/>
      <c r="F17" s="1246" t="s">
        <v>1675</v>
      </c>
      <c r="G17" s="2794"/>
    </row>
    <row r="18" spans="1:7" ht="40.5">
      <c r="A18" s="2589"/>
      <c r="B18" s="1246" t="s">
        <v>1656</v>
      </c>
      <c r="C18" s="1004" t="str">
        <f>C6</f>
        <v>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2549</v>
      </c>
      <c r="G19" s="1004" t="str">
        <f>G5</f>
        <v>估价对象所在区域公共配套设施齐备情况</v>
      </c>
    </row>
    <row r="20" spans="1:7" ht="27">
      <c r="A20" s="2589"/>
      <c r="B20" s="1246" t="s">
        <v>1661</v>
      </c>
      <c r="C20" s="1245" t="str">
        <f>C9</f>
        <v>较好</v>
      </c>
      <c r="D20" s="2010"/>
      <c r="E20" s="2586"/>
      <c r="F20" s="1230" t="s">
        <v>2550</v>
      </c>
      <c r="G20" s="1004" t="str">
        <f>G6</f>
        <v>估价对象所在区域基础设施水平</v>
      </c>
    </row>
    <row r="21" spans="1:7" ht="14.25">
      <c r="A21" s="2589"/>
      <c r="B21" s="1230" t="s">
        <v>2549</v>
      </c>
      <c r="C21" s="1004" t="str">
        <f>C7</f>
        <v>较好</v>
      </c>
      <c r="D21" s="2009"/>
      <c r="E21" s="2586"/>
      <c r="F21" s="1246" t="s">
        <v>1662</v>
      </c>
      <c r="G21" s="3085"/>
    </row>
    <row r="22" spans="1:7" ht="14.25">
      <c r="A22" s="2589"/>
      <c r="B22" s="1230" t="s">
        <v>2550</v>
      </c>
      <c r="C22" s="1004" t="str">
        <f>C8</f>
        <v>六通</v>
      </c>
      <c r="D22" s="2009"/>
      <c r="E22" s="2586"/>
      <c r="F22" s="1246" t="s">
        <v>1672</v>
      </c>
      <c r="G22" s="2794"/>
    </row>
    <row r="23" spans="1:7" ht="15" thickBot="1">
      <c r="A23" s="2589"/>
      <c r="B23" s="1246" t="s">
        <v>1662</v>
      </c>
      <c r="C23" s="3085"/>
      <c r="E23" s="2587"/>
      <c r="F23" s="1247" t="s">
        <v>1676</v>
      </c>
      <c r="G23" s="3086"/>
    </row>
    <row r="24" spans="1:7" ht="14.25" thickBot="1">
      <c r="A24" s="2590"/>
      <c r="B24" s="1247" t="s">
        <v>1663</v>
      </c>
      <c r="C24" s="1248" t="str">
        <f>C10</f>
        <v>支路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4" sqref="E24"/>
    </sheetView>
  </sheetViews>
  <sheetFormatPr defaultColWidth="14.625" defaultRowHeight="13.5"/>
  <cols>
    <col min="1" max="1" width="24.375" customWidth="1"/>
  </cols>
  <sheetData>
    <row r="1" spans="1:9" ht="16.5">
      <c r="A1" s="3046" t="s">
        <v>2847</v>
      </c>
      <c r="B1" s="3046">
        <f>SUM(B14:B23)</f>
        <v>9439</v>
      </c>
      <c r="C1" s="3047"/>
      <c r="D1" s="3047"/>
      <c r="E1" s="3047"/>
      <c r="F1" s="3047"/>
    </row>
    <row r="2" spans="1:9" ht="16.5">
      <c r="A2" s="3046" t="s">
        <v>2848</v>
      </c>
      <c r="B2" s="3046">
        <f>SUM(C14:C23)</f>
        <v>2708.59</v>
      </c>
      <c r="C2" s="3047"/>
      <c r="D2" s="3047"/>
      <c r="E2" s="3047"/>
      <c r="F2" s="3047"/>
    </row>
    <row r="3" spans="1:9" ht="16.5">
      <c r="A3" s="3046" t="s">
        <v>2849</v>
      </c>
      <c r="B3" s="3048">
        <f>项目基本情况!D3</f>
        <v>43316</v>
      </c>
      <c r="C3" s="3047"/>
      <c r="D3" s="3047"/>
      <c r="E3" s="3047"/>
      <c r="F3" s="3047"/>
    </row>
    <row r="4" spans="1:9" ht="33">
      <c r="A4" s="3046" t="s">
        <v>2850</v>
      </c>
      <c r="B4" s="3046" t="s">
        <v>2851</v>
      </c>
      <c r="C4" s="3046" t="s">
        <v>2852</v>
      </c>
      <c r="D4" s="3046" t="s">
        <v>2853</v>
      </c>
      <c r="E4" s="3047"/>
      <c r="F4" s="3047"/>
    </row>
    <row r="5" spans="1:9" ht="16.5">
      <c r="A5" s="3046" t="s">
        <v>2854</v>
      </c>
      <c r="B5" s="3046">
        <f ca="1">SUM(D14:D23)</f>
        <v>8358</v>
      </c>
      <c r="C5" s="3046">
        <f ca="1">ROUND(B5*10000/$B$1,0)</f>
        <v>8855</v>
      </c>
      <c r="D5" s="3046">
        <f ca="1">ROUND(B5*10000/$B$2,0)</f>
        <v>30857</v>
      </c>
      <c r="E5" s="3047"/>
      <c r="F5" s="3047"/>
    </row>
    <row r="6" spans="1:9" ht="16.5">
      <c r="A6" s="3046" t="s">
        <v>2855</v>
      </c>
      <c r="B6" s="3046">
        <f ca="1">SUM(G14:G23)</f>
        <v>8358</v>
      </c>
      <c r="C6" s="3046">
        <f t="shared" ref="C6:C8" ca="1" si="0">ROUND(B6*10000/$B$1,0)</f>
        <v>8855</v>
      </c>
      <c r="D6" s="3046">
        <f t="shared" ref="D6:D8" ca="1" si="1">ROUND(B6*10000/$B$2,0)</f>
        <v>30857</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9439</v>
      </c>
      <c r="C14" s="3050">
        <f>结果表!K38</f>
        <v>2708.59</v>
      </c>
      <c r="D14" s="3050">
        <f ca="1">结果表!C42</f>
        <v>8358</v>
      </c>
      <c r="E14" s="3050">
        <f ca="1">ROUND(D14*10000/B14,0)</f>
        <v>8855</v>
      </c>
      <c r="F14" s="3050">
        <f ca="1">ROUND(D14*10000/C14,0)</f>
        <v>30857</v>
      </c>
      <c r="G14" s="3050">
        <f ca="1">结果表!C44</f>
        <v>8358</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2058</v>
      </c>
      <c r="B1" s="1777"/>
      <c r="C1" s="1805" t="s">
        <v>2059</v>
      </c>
      <c r="D1" s="1806" t="s">
        <v>3108</v>
      </c>
      <c r="E1" s="1805" t="s">
        <v>2060</v>
      </c>
      <c r="F1" s="1807" t="s">
        <v>3107</v>
      </c>
      <c r="G1" s="310"/>
      <c r="H1" s="310"/>
      <c r="I1" s="310"/>
      <c r="J1" s="2029"/>
      <c r="K1" s="2029"/>
      <c r="L1" s="2029"/>
      <c r="M1" s="2029"/>
      <c r="N1" s="2029"/>
      <c r="O1" s="2029"/>
      <c r="P1" s="2029"/>
      <c r="Q1" s="2029"/>
      <c r="R1" s="2029"/>
      <c r="S1" s="2029"/>
      <c r="T1" s="2029"/>
      <c r="U1" s="2029"/>
      <c r="V1" s="2029"/>
    </row>
    <row r="2" spans="1:22" ht="21.75" customHeight="1" thickBot="1">
      <c r="A2" s="3339" t="str">
        <f>项目基本情况!K2</f>
        <v>出让国有建设用地使用权</v>
      </c>
      <c r="B2" s="3340"/>
      <c r="C2" s="3341"/>
      <c r="D2" s="3341"/>
      <c r="E2" s="3341"/>
      <c r="F2" s="3341"/>
      <c r="G2" s="3340"/>
      <c r="H2" s="3340"/>
      <c r="I2" s="3342"/>
      <c r="J2" s="2030"/>
      <c r="K2" s="2029"/>
      <c r="L2" s="2029"/>
      <c r="M2" s="2029"/>
      <c r="N2" s="2029"/>
      <c r="O2" s="2029"/>
      <c r="P2" s="2029"/>
      <c r="Q2" s="2029"/>
      <c r="R2" s="2029"/>
      <c r="S2" s="2029"/>
      <c r="T2" s="2029"/>
      <c r="U2" s="2029"/>
      <c r="V2" s="2029"/>
    </row>
    <row r="3" spans="1:22" ht="14.25">
      <c r="A3" s="3350" t="s">
        <v>298</v>
      </c>
      <c r="B3" s="3351"/>
      <c r="C3" s="3351"/>
      <c r="D3" s="3351"/>
      <c r="E3" s="3351"/>
      <c r="F3" s="3351"/>
      <c r="G3" s="3351"/>
      <c r="H3" s="3351"/>
      <c r="I3" s="3351"/>
      <c r="J3" s="2030"/>
      <c r="K3" s="2029"/>
      <c r="L3" s="2029"/>
      <c r="M3" s="2029"/>
      <c r="N3" s="2029"/>
      <c r="O3" s="2029"/>
      <c r="P3" s="2029"/>
      <c r="Q3" s="2029"/>
      <c r="R3" s="2029"/>
      <c r="S3" s="2029"/>
      <c r="T3" s="2029"/>
      <c r="U3" s="2029"/>
      <c r="V3" s="2029"/>
    </row>
    <row r="4" spans="1:22" ht="14.25">
      <c r="A4" s="257" t="s">
        <v>299</v>
      </c>
      <c r="B4" s="258" t="s">
        <v>300</v>
      </c>
      <c r="C4" s="259" t="s">
        <v>3105</v>
      </c>
      <c r="D4" s="259" t="s">
        <v>3106</v>
      </c>
      <c r="E4" s="3314" t="s">
        <v>301</v>
      </c>
      <c r="F4" s="3356"/>
      <c r="G4" s="3356"/>
      <c r="H4" s="3356"/>
      <c r="I4" s="3315"/>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43" t="s">
        <v>302</v>
      </c>
      <c r="B5" s="3344">
        <v>25</v>
      </c>
      <c r="C5" s="3352"/>
      <c r="D5" s="3355"/>
      <c r="E5" s="260" t="s">
        <v>303</v>
      </c>
      <c r="F5" s="261"/>
      <c r="G5" s="261"/>
      <c r="H5" s="261"/>
      <c r="I5" s="262"/>
      <c r="J5" s="2030"/>
      <c r="K5" s="2029"/>
      <c r="L5" s="2029"/>
      <c r="M5" s="2029"/>
      <c r="N5" s="2029"/>
      <c r="O5" s="2029"/>
      <c r="P5" s="2029"/>
      <c r="Q5" s="2029"/>
      <c r="R5" s="2029"/>
      <c r="S5" s="2029"/>
      <c r="T5" s="2029"/>
      <c r="U5" s="2029"/>
      <c r="V5" s="2029"/>
    </row>
    <row r="6" spans="1:22" ht="14.25">
      <c r="A6" s="3343"/>
      <c r="B6" s="3344"/>
      <c r="C6" s="3353"/>
      <c r="D6" s="3355"/>
      <c r="E6" s="260" t="s">
        <v>304</v>
      </c>
      <c r="F6" s="261"/>
      <c r="G6" s="261"/>
      <c r="H6" s="261"/>
      <c r="I6" s="262"/>
      <c r="J6" s="2030"/>
      <c r="K6" s="2029"/>
      <c r="L6" s="2029"/>
      <c r="M6" s="2029"/>
      <c r="N6" s="2029"/>
      <c r="O6" s="2029"/>
      <c r="P6" s="2029"/>
      <c r="Q6" s="2029"/>
      <c r="R6" s="2029"/>
      <c r="S6" s="2029"/>
      <c r="T6" s="2029"/>
      <c r="U6" s="2029"/>
      <c r="V6" s="2029"/>
    </row>
    <row r="7" spans="1:22" ht="14.25">
      <c r="A7" s="3343"/>
      <c r="B7" s="3344"/>
      <c r="C7" s="3354"/>
      <c r="D7" s="3355"/>
      <c r="E7" s="260" t="s">
        <v>305</v>
      </c>
      <c r="F7" s="261"/>
      <c r="G7" s="261"/>
      <c r="H7" s="261"/>
      <c r="I7" s="262"/>
      <c r="J7" s="2030"/>
      <c r="K7" s="2029"/>
      <c r="L7" s="2029"/>
      <c r="M7" s="2029"/>
      <c r="N7" s="2029"/>
      <c r="O7" s="2029"/>
      <c r="P7" s="2029"/>
      <c r="Q7" s="2029"/>
      <c r="R7" s="2029"/>
      <c r="S7" s="2029"/>
      <c r="T7" s="2029"/>
      <c r="U7" s="2029"/>
      <c r="V7" s="2029"/>
    </row>
    <row r="8" spans="1:22" ht="14.25">
      <c r="A8" s="3343" t="s">
        <v>306</v>
      </c>
      <c r="B8" s="3344">
        <v>15</v>
      </c>
      <c r="C8" s="3352"/>
      <c r="D8" s="3355"/>
      <c r="E8" s="260" t="s">
        <v>307</v>
      </c>
      <c r="F8" s="261"/>
      <c r="G8" s="261"/>
      <c r="H8" s="261"/>
      <c r="I8" s="262"/>
      <c r="J8" s="2030"/>
      <c r="K8" s="2029"/>
      <c r="L8" s="2029"/>
      <c r="M8" s="2029"/>
      <c r="N8" s="2029"/>
      <c r="O8" s="2029"/>
      <c r="P8" s="2029"/>
      <c r="Q8" s="2029"/>
      <c r="R8" s="2029"/>
      <c r="S8" s="2029"/>
      <c r="T8" s="2029"/>
      <c r="U8" s="2029"/>
      <c r="V8" s="2029"/>
    </row>
    <row r="9" spans="1:22" ht="14.25">
      <c r="A9" s="3343"/>
      <c r="B9" s="3344"/>
      <c r="C9" s="3354"/>
      <c r="D9" s="3355"/>
      <c r="E9" s="260" t="s">
        <v>308</v>
      </c>
      <c r="F9" s="261"/>
      <c r="G9" s="261"/>
      <c r="H9" s="261"/>
      <c r="I9" s="262"/>
      <c r="J9" s="2030"/>
      <c r="K9" s="2029"/>
      <c r="L9" s="2029"/>
      <c r="M9" s="2029"/>
      <c r="N9" s="2029"/>
      <c r="O9" s="2029"/>
      <c r="P9" s="2029"/>
      <c r="Q9" s="2029"/>
      <c r="R9" s="2029"/>
      <c r="S9" s="2029"/>
      <c r="T9" s="2029"/>
      <c r="U9" s="2029"/>
      <c r="V9" s="2029"/>
    </row>
    <row r="10" spans="1:22" ht="14.25">
      <c r="A10" s="3343" t="s">
        <v>309</v>
      </c>
      <c r="B10" s="3344">
        <v>15</v>
      </c>
      <c r="C10" s="3352"/>
      <c r="D10" s="3355"/>
      <c r="E10" s="260" t="s">
        <v>310</v>
      </c>
      <c r="F10" s="261"/>
      <c r="G10" s="261"/>
      <c r="H10" s="261"/>
      <c r="I10" s="262"/>
      <c r="J10" s="2030"/>
      <c r="K10" s="2029"/>
      <c r="L10" s="2029"/>
      <c r="M10" s="2029"/>
      <c r="N10" s="2029"/>
      <c r="O10" s="2029"/>
      <c r="P10" s="2029"/>
      <c r="Q10" s="2029"/>
      <c r="R10" s="2029"/>
      <c r="S10" s="2029"/>
      <c r="T10" s="2029"/>
      <c r="U10" s="2029"/>
      <c r="V10" s="2029"/>
    </row>
    <row r="11" spans="1:22" ht="14.25">
      <c r="A11" s="3343"/>
      <c r="B11" s="3344"/>
      <c r="C11" s="3354"/>
      <c r="D11" s="3355"/>
      <c r="E11" s="260" t="s">
        <v>311</v>
      </c>
      <c r="F11" s="261"/>
      <c r="G11" s="261"/>
      <c r="H11" s="261"/>
      <c r="I11" s="262"/>
      <c r="J11" s="2030"/>
      <c r="K11" s="2029"/>
      <c r="L11" s="2029"/>
      <c r="M11" s="2029"/>
      <c r="N11" s="2029"/>
      <c r="O11" s="2029"/>
      <c r="P11" s="2029"/>
      <c r="Q11" s="2029"/>
      <c r="R11" s="2029"/>
      <c r="S11" s="2029"/>
      <c r="T11" s="2029"/>
      <c r="U11" s="2029"/>
      <c r="V11" s="2029"/>
    </row>
    <row r="12" spans="1:22" ht="14.25">
      <c r="A12" s="3343" t="s">
        <v>312</v>
      </c>
      <c r="B12" s="3344">
        <v>15</v>
      </c>
      <c r="C12" s="3352"/>
      <c r="D12" s="3355"/>
      <c r="E12" s="260" t="s">
        <v>313</v>
      </c>
      <c r="F12" s="261"/>
      <c r="G12" s="261"/>
      <c r="H12" s="261"/>
      <c r="I12" s="262"/>
      <c r="J12" s="2030"/>
      <c r="K12" s="2029"/>
      <c r="L12" s="2029"/>
      <c r="M12" s="2029"/>
      <c r="N12" s="2029"/>
      <c r="O12" s="2029"/>
      <c r="P12" s="2029"/>
      <c r="Q12" s="2029"/>
      <c r="R12" s="2029"/>
      <c r="S12" s="2029"/>
      <c r="T12" s="2029"/>
      <c r="U12" s="2029"/>
      <c r="V12" s="2029"/>
    </row>
    <row r="13" spans="1:22" ht="14.25">
      <c r="A13" s="3343"/>
      <c r="B13" s="3344"/>
      <c r="C13" s="3354"/>
      <c r="D13" s="3355"/>
      <c r="E13" s="260" t="s">
        <v>314</v>
      </c>
      <c r="F13" s="261"/>
      <c r="G13" s="261"/>
      <c r="H13" s="261"/>
      <c r="I13" s="262"/>
      <c r="J13" s="2030"/>
      <c r="K13" s="2029"/>
      <c r="L13" s="2029"/>
      <c r="M13" s="2029"/>
      <c r="N13" s="2029"/>
      <c r="O13" s="2029"/>
      <c r="P13" s="2029"/>
      <c r="Q13" s="2029"/>
      <c r="R13" s="2029"/>
      <c r="S13" s="2029"/>
      <c r="T13" s="2029"/>
      <c r="U13" s="2029"/>
      <c r="V13" s="2029"/>
    </row>
    <row r="14" spans="1:22" ht="14.25">
      <c r="A14" s="3343" t="s">
        <v>315</v>
      </c>
      <c r="B14" s="3344">
        <v>30</v>
      </c>
      <c r="C14" s="3352">
        <v>5</v>
      </c>
      <c r="D14" s="3355">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343"/>
      <c r="B15" s="3344"/>
      <c r="C15" s="3353"/>
      <c r="D15" s="3355"/>
      <c r="E15" s="260" t="s">
        <v>317</v>
      </c>
      <c r="F15" s="261"/>
      <c r="G15" s="261"/>
      <c r="H15" s="261"/>
      <c r="I15" s="262"/>
      <c r="J15" s="2030"/>
      <c r="K15" s="2029"/>
      <c r="L15" s="2029"/>
      <c r="M15" s="2029"/>
      <c r="N15" s="2029"/>
      <c r="O15" s="2029"/>
      <c r="P15" s="2029"/>
      <c r="Q15" s="2029"/>
      <c r="R15" s="2029"/>
      <c r="S15" s="2029"/>
      <c r="T15" s="2029"/>
      <c r="U15" s="2029"/>
      <c r="V15" s="2029"/>
    </row>
    <row r="16" spans="1:22" ht="14.25">
      <c r="A16" s="3343"/>
      <c r="B16" s="3344"/>
      <c r="C16" s="3354"/>
      <c r="D16" s="3355"/>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5</v>
      </c>
      <c r="D17" s="264">
        <f>SUM(D5:D16)</f>
        <v>5</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8946</v>
      </c>
      <c r="D19" s="270">
        <f ca="1">SUMIF(INDIRECT("'"&amp;D4&amp;"'"&amp;"!A:A"),结果表!B19,INDIRECT("'"&amp;D4&amp;"'"&amp;"!B:B"))</f>
        <v>7770</v>
      </c>
      <c r="E19" s="267" t="s">
        <v>323</v>
      </c>
      <c r="F19" s="268" t="s">
        <v>322</v>
      </c>
      <c r="G19" s="271">
        <f ca="1">ROUND(C19*$C$18+D19*$D$18,0)</f>
        <v>8358</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9478</v>
      </c>
      <c r="D20" s="276">
        <f ca="1">SUMIF(INDIRECT("'"&amp;D4&amp;"'"&amp;"!A:A"),结果表!B20,INDIRECT("'"&amp;D4&amp;"'"&amp;"!B:B"))</f>
        <v>8232</v>
      </c>
      <c r="E20" s="273"/>
      <c r="F20" s="274" t="s">
        <v>325</v>
      </c>
      <c r="G20" s="277">
        <f ca="1">ROUND(C20*$C$18+D20*$D$18,0)</f>
        <v>8855</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33028</v>
      </c>
      <c r="D21" s="151">
        <f ca="1">SUMIF(INDIRECT("'"&amp;D4&amp;"'"&amp;"!A:A"),结果表!B21,INDIRECT("'"&amp;D4&amp;"'"&amp;"!B:B"))</f>
        <v>28687</v>
      </c>
      <c r="E21" s="273"/>
      <c r="F21" s="279" t="s">
        <v>327</v>
      </c>
      <c r="G21" s="281">
        <f ca="1">ROUND(C21*$C$18+D21*$D$18,0)</f>
        <v>30858</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0.15135135135135136</v>
      </c>
      <c r="E22" s="283"/>
      <c r="F22" s="284"/>
      <c r="G22" s="285">
        <f ca="1">ROUND(G19/('数据-汇总表'!D3/666.67),0)</f>
        <v>2057</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316"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358"/>
      <c r="B25" s="1320" t="s">
        <v>331</v>
      </c>
      <c r="C25" s="289">
        <f>IF(B30=0,0,C30)</f>
        <v>0</v>
      </c>
      <c r="D25" s="290"/>
      <c r="E25" s="310"/>
      <c r="F25" s="310"/>
      <c r="G25" s="310"/>
      <c r="H25" s="310"/>
      <c r="I25" s="310"/>
      <c r="J25" s="2029"/>
      <c r="K25" s="1254" t="str">
        <f ca="1">项目基本情况!B16&amp;"国有建设用地使用权价格："&amp;O38&amp;"万元"</f>
        <v>出让国有建设用地使用权价格：8358万元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大写金额：人民币捌仟叁佰伍拾捌万元整</v>
      </c>
      <c r="L26" s="1251"/>
      <c r="M26" s="1251"/>
      <c r="N26" s="1251"/>
      <c r="O26" s="1250"/>
      <c r="P26" s="2029"/>
      <c r="Q26" s="2029"/>
      <c r="R26" s="2029"/>
      <c r="S26" s="2029"/>
      <c r="T26" s="2029"/>
      <c r="U26" s="2029"/>
      <c r="V26" s="2029"/>
      <c r="W26" s="291"/>
      <c r="X26" s="291"/>
      <c r="Y26" s="291"/>
      <c r="Z26" s="291"/>
    </row>
    <row r="27" spans="1:26" ht="18">
      <c r="A27" s="292"/>
      <c r="B27" s="293"/>
      <c r="C27" s="293"/>
      <c r="D27" s="294"/>
      <c r="E27" s="310"/>
      <c r="F27" s="310"/>
      <c r="G27" s="310"/>
      <c r="H27" s="310"/>
      <c r="I27" s="310"/>
      <c r="J27" s="2029"/>
      <c r="K27" s="1257" t="str">
        <f ca="1">"单位面积地价："&amp;M38&amp;"元/平方米"</f>
        <v>单位面积地价：30857元/平方米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楼面地价：8855元/平方米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抵押价格：8358万元</v>
      </c>
      <c r="L29" s="1251"/>
      <c r="M29" s="1251"/>
      <c r="N29" s="1251"/>
      <c r="O29" s="1250"/>
      <c r="P29" s="2029"/>
      <c r="V29" s="2029"/>
    </row>
    <row r="30" spans="1:26" ht="18.75" thickBot="1">
      <c r="A30" s="3128" t="s">
        <v>336</v>
      </c>
      <c r="B30" s="308"/>
      <c r="C30" s="308"/>
      <c r="D30" s="309"/>
      <c r="E30" s="3129" t="s">
        <v>2970</v>
      </c>
      <c r="F30" s="310"/>
      <c r="G30" s="310"/>
      <c r="H30" s="310"/>
      <c r="I30" s="310"/>
      <c r="J30" s="2029"/>
      <c r="K30" s="1257" t="str">
        <f ca="1">IF(K29="——","——","大写金额：人民币"&amp;NUMBERSTRING(INT(O39*10000),2)&amp;"元整")</f>
        <v>大写金额：人民币捌仟叁佰伍拾捌万元整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337</v>
      </c>
      <c r="B32" s="1381" t="s">
        <v>1689</v>
      </c>
      <c r="C32" s="1382">
        <f ca="1">G19-C24</f>
        <v>8358</v>
      </c>
      <c r="D32" s="1383" t="s">
        <v>1690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340</v>
      </c>
      <c r="B33" s="1384" t="s">
        <v>1691</v>
      </c>
      <c r="C33" s="263">
        <f ca="1">ROUND(C32*10000/'数据-汇总表'!E3,0)</f>
        <v>8855</v>
      </c>
      <c r="D33" s="1385" t="s">
        <v>1692</v>
      </c>
      <c r="E33" s="3316" t="s">
        <v>338</v>
      </c>
      <c r="F33" s="295" t="s">
        <v>339</v>
      </c>
      <c r="G33" s="296"/>
      <c r="H33" s="979"/>
      <c r="I33" s="1258"/>
      <c r="J33" s="2029"/>
      <c r="K33" s="1257" t="str">
        <f>IF(项目基本情况!E9="——","——","抵押净值："&amp;C46&amp;"万元")</f>
        <v>——</v>
      </c>
      <c r="L33" s="1251"/>
      <c r="M33" s="1251"/>
      <c r="N33" s="1251"/>
      <c r="O33" s="1250"/>
      <c r="P33" s="2029"/>
      <c r="V33" s="2029"/>
    </row>
    <row r="34" spans="1:26" s="1253" customFormat="1" ht="18.75" thickBot="1">
      <c r="A34" s="299"/>
      <c r="B34" s="1386" t="s">
        <v>1693</v>
      </c>
      <c r="C34" s="263">
        <f ca="1">ROUND(C32*10000/'数据-汇总表'!D3,0)</f>
        <v>30857</v>
      </c>
      <c r="D34" s="1387" t="s">
        <v>1692</v>
      </c>
      <c r="E34" s="3317"/>
      <c r="F34" s="127" t="s">
        <v>341</v>
      </c>
      <c r="G34" s="298"/>
      <c r="H34" s="105"/>
      <c r="I34" s="310"/>
      <c r="J34" s="2029"/>
      <c r="K34" s="1260" t="str">
        <f>IF(K33="——","——","大写金额：人民币"&amp;NUMBERSTRING(INT(O41*10000),2)&amp;"元整")</f>
        <v>——</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2057</v>
      </c>
      <c r="D35" s="1390" t="s">
        <v>1694</v>
      </c>
      <c r="E35" s="3318"/>
      <c r="F35" s="300" t="s">
        <v>342</v>
      </c>
      <c r="G35" s="981"/>
      <c r="H35" s="980" t="s">
        <v>343</v>
      </c>
      <c r="I35" s="310"/>
      <c r="J35" s="2029"/>
      <c r="K35" s="3322" t="s">
        <v>350</v>
      </c>
      <c r="L35" s="3322" t="s">
        <v>351</v>
      </c>
      <c r="M35" s="1263" t="s">
        <v>352</v>
      </c>
      <c r="N35" s="3322" t="s">
        <v>353</v>
      </c>
      <c r="O35" s="3322" t="s">
        <v>354</v>
      </c>
      <c r="P35" s="2029"/>
      <c r="V35" s="2029"/>
    </row>
    <row r="36" spans="1:26" ht="16.5" customHeight="1">
      <c r="A36" s="302" t="s">
        <v>344</v>
      </c>
      <c r="B36" s="303" t="s">
        <v>333</v>
      </c>
      <c r="C36" s="304" t="s">
        <v>345</v>
      </c>
      <c r="D36" s="304" t="s">
        <v>346</v>
      </c>
      <c r="E36" s="305" t="s">
        <v>347</v>
      </c>
      <c r="F36" s="310"/>
      <c r="G36" s="310"/>
      <c r="H36" s="310"/>
      <c r="I36" s="310"/>
      <c r="J36" s="2031"/>
      <c r="K36" s="3323"/>
      <c r="L36" s="3323"/>
      <c r="M36" s="1265" t="s">
        <v>355</v>
      </c>
      <c r="N36" s="3323"/>
      <c r="O36" s="3323"/>
      <c r="P36" s="2029"/>
      <c r="V36" s="2029"/>
    </row>
    <row r="37" spans="1:26" ht="16.5" customHeight="1" thickBot="1">
      <c r="A37" s="1259" t="s">
        <v>348</v>
      </c>
      <c r="B37" s="306"/>
      <c r="C37" s="293"/>
      <c r="D37" s="293"/>
      <c r="E37" s="294"/>
      <c r="F37" s="310"/>
      <c r="G37" s="310"/>
      <c r="H37" s="310"/>
      <c r="I37" s="310"/>
      <c r="J37" s="2031"/>
      <c r="K37" s="3324"/>
      <c r="L37" s="3324"/>
      <c r="M37" s="1266"/>
      <c r="N37" s="3324"/>
      <c r="O37" s="3324"/>
      <c r="P37" s="2029"/>
      <c r="V37" s="2029"/>
    </row>
    <row r="38" spans="1:26" ht="16.5" customHeight="1" thickBot="1">
      <c r="A38" s="1259" t="s">
        <v>349</v>
      </c>
      <c r="B38" s="306"/>
      <c r="C38" s="293"/>
      <c r="D38" s="293"/>
      <c r="E38" s="294"/>
      <c r="F38" s="310"/>
      <c r="G38" s="310"/>
      <c r="H38" s="310"/>
      <c r="I38" s="310"/>
      <c r="J38" s="2031"/>
      <c r="K38" s="1267">
        <f>'数据-汇总表'!D3</f>
        <v>2708.59</v>
      </c>
      <c r="L38" s="1268">
        <f>'数据-汇总表'!E3</f>
        <v>9439</v>
      </c>
      <c r="M38" s="1268">
        <f ca="1">C34</f>
        <v>30857</v>
      </c>
      <c r="N38" s="1268">
        <f ca="1">C33</f>
        <v>8855</v>
      </c>
      <c r="O38" s="1269">
        <f ca="1">C32</f>
        <v>8358</v>
      </c>
      <c r="P38" s="2029"/>
      <c r="V38" s="2029"/>
    </row>
    <row r="39" spans="1:26" ht="16.5" customHeight="1" thickBot="1">
      <c r="A39" s="1264"/>
      <c r="B39" s="307"/>
      <c r="C39" s="308"/>
      <c r="D39" s="308"/>
      <c r="E39" s="309"/>
      <c r="F39" s="310"/>
      <c r="G39" s="310"/>
      <c r="H39" s="310"/>
      <c r="I39" s="310"/>
      <c r="J39" s="2031"/>
      <c r="K39" s="3299" t="str">
        <f>MID(A44,3,LEN(A44)-2)</f>
        <v>抵押价格</v>
      </c>
      <c r="L39" s="3300"/>
      <c r="M39" s="3300"/>
      <c r="N39" s="3301"/>
      <c r="O39" s="1392">
        <f ca="1">C44</f>
        <v>8358</v>
      </c>
      <c r="P39" s="2029"/>
      <c r="V39" s="2029"/>
    </row>
    <row r="40" spans="1:26" ht="19.5" thickBot="1">
      <c r="A40" s="104" t="s">
        <v>873</v>
      </c>
      <c r="B40" s="310"/>
      <c r="C40" s="310"/>
      <c r="D40" s="310"/>
      <c r="E40" s="310"/>
      <c r="F40" s="310"/>
      <c r="G40" s="310"/>
      <c r="H40" s="310"/>
      <c r="I40" s="310"/>
      <c r="J40" s="2031"/>
      <c r="K40" s="3299" t="str">
        <f t="shared" ref="K40:K41" si="0">MID(A45,3,LEN(A45)-2)</f>
        <v/>
      </c>
      <c r="L40" s="3300"/>
      <c r="M40" s="3300"/>
      <c r="N40" s="3301"/>
      <c r="O40" s="1392" t="str">
        <f>C45</f>
        <v>——</v>
      </c>
      <c r="P40" s="2029"/>
      <c r="V40" s="2029"/>
    </row>
    <row r="41" spans="1:26" ht="16.5" thickBot="1">
      <c r="A41" s="311" t="s">
        <v>356</v>
      </c>
      <c r="B41" s="312"/>
      <c r="C41" s="313" t="s">
        <v>357</v>
      </c>
      <c r="D41" s="314" t="s">
        <v>358</v>
      </c>
      <c r="E41" s="314" t="s">
        <v>359</v>
      </c>
      <c r="F41" s="315" t="s">
        <v>360</v>
      </c>
      <c r="G41" s="310"/>
      <c r="H41" s="310"/>
      <c r="I41" s="310"/>
      <c r="J41" s="2031"/>
      <c r="K41" s="3299" t="str">
        <f t="shared" si="0"/>
        <v/>
      </c>
      <c r="L41" s="3300"/>
      <c r="M41" s="3300"/>
      <c r="N41" s="3301"/>
      <c r="O41" s="1392" t="str">
        <f>C46</f>
        <v>——</v>
      </c>
      <c r="P41" s="2029"/>
      <c r="V41" s="2029"/>
    </row>
    <row r="42" spans="1:26" ht="29.25">
      <c r="A42" s="3359" t="s">
        <v>2070</v>
      </c>
      <c r="B42" s="3360"/>
      <c r="C42" s="263">
        <f ca="1">C32</f>
        <v>8358</v>
      </c>
      <c r="D42" s="316">
        <f ca="1">C33</f>
        <v>8855</v>
      </c>
      <c r="E42" s="316">
        <f ca="1">C34</f>
        <v>30857</v>
      </c>
      <c r="F42" s="317">
        <f ca="1">C35</f>
        <v>2057</v>
      </c>
      <c r="G42" s="310"/>
      <c r="H42" s="310"/>
      <c r="I42" s="318"/>
      <c r="J42" s="2031"/>
      <c r="K42" s="1270" t="s">
        <v>361</v>
      </c>
      <c r="L42" s="2048" t="s">
        <v>362</v>
      </c>
      <c r="M42" s="1271" t="s">
        <v>363</v>
      </c>
      <c r="N42" s="2049" t="s">
        <v>364</v>
      </c>
      <c r="O42" s="2050" t="s">
        <v>365</v>
      </c>
      <c r="P42" s="2029"/>
      <c r="V42" s="2029"/>
    </row>
    <row r="43" spans="1:26" ht="30">
      <c r="A43" s="3369" t="s">
        <v>2733</v>
      </c>
      <c r="B43" s="3370"/>
      <c r="C43" s="263">
        <f>IF(H33="正常操作",G33+G34+G35,G34+G35)</f>
        <v>0</v>
      </c>
      <c r="D43" s="316" t="s">
        <v>43</v>
      </c>
      <c r="E43" s="316" t="s">
        <v>44</v>
      </c>
      <c r="F43" s="317" t="s">
        <v>44</v>
      </c>
      <c r="G43" s="2867" t="s">
        <v>952</v>
      </c>
      <c r="H43" s="310"/>
      <c r="I43" s="318"/>
      <c r="J43" s="2031"/>
      <c r="K43" s="1272" t="str">
        <f>C4</f>
        <v>剩余法-待开发</v>
      </c>
      <c r="L43" s="1273">
        <f ca="1">IF(L42="估价结果/万元",C19,C20)</f>
        <v>8946</v>
      </c>
      <c r="M43" s="1274">
        <f>C18</f>
        <v>0.5</v>
      </c>
      <c r="N43" s="1275">
        <f ca="1">IF(N42="测算结果/万元",G19,G20)</f>
        <v>8358</v>
      </c>
      <c r="O43" s="1276">
        <f ca="1">IF(O42="最终结果/万元",C32,C33)</f>
        <v>8358</v>
      </c>
      <c r="P43" s="2029"/>
      <c r="V43" s="2029"/>
    </row>
    <row r="44" spans="1:26" ht="30.75" thickBot="1">
      <c r="A44" s="3359" t="str">
        <f>IF(OR(项目基本情况!E8="抵押价格",项目基本情况!E8="已注销及未注销"),"3.抵押价格","——")</f>
        <v>3.抵押价格</v>
      </c>
      <c r="B44" s="3360"/>
      <c r="C44" s="263">
        <f ca="1">IF(A44="——","——",C42-C43)</f>
        <v>8358</v>
      </c>
      <c r="D44" s="316">
        <f ca="1">ROUND(C44*10000/'数据-汇总表'!E3,0)</f>
        <v>8855</v>
      </c>
      <c r="E44" s="316">
        <f ca="1">ROUND(C44*10000/'数据-汇总表'!D3,0)</f>
        <v>30857</v>
      </c>
      <c r="F44" s="317">
        <f ca="1">ROUND(C44/('数据-汇总表'!D3/666.67),0)</f>
        <v>2057</v>
      </c>
      <c r="G44" s="310"/>
      <c r="H44" s="310"/>
      <c r="I44" s="318"/>
      <c r="J44" s="2031"/>
      <c r="K44" s="1277" t="str">
        <f>D4</f>
        <v>比较法-住宅、综合</v>
      </c>
      <c r="L44" s="1278">
        <f ca="1">IF(L42="估价结果/万元",D19,D20)</f>
        <v>7770</v>
      </c>
      <c r="M44" s="1279">
        <f>D18</f>
        <v>0.5</v>
      </c>
      <c r="N44" s="1280"/>
      <c r="O44" s="1281"/>
      <c r="P44" s="2029"/>
      <c r="V44" s="2029"/>
    </row>
    <row r="45" spans="1:26" ht="15">
      <c r="A45" s="3364" t="str">
        <f>IF(项目基本情况!E8="已注销及未注销","4.抵押担保权已注销时的抵押价格",IF(项目基本情况!E8="已注销","3.抵押担保权已注销时的抵押价格","——"))</f>
        <v>——</v>
      </c>
      <c r="B45" s="3365"/>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61" t="str">
        <f>IF(项目基本情况!E9="抵押净值",IF(A45="——","4.抵押净值","5.抵押净值"),"——")</f>
        <v>——</v>
      </c>
      <c r="B46" s="3362"/>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27" t="s">
        <v>374</v>
      </c>
      <c r="B63" s="3328"/>
      <c r="C63" s="3329"/>
      <c r="D63" s="340">
        <f ca="1">ROUND(C42*F63,0)</f>
        <v>5015</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366" t="s">
        <v>378</v>
      </c>
      <c r="B64" s="3367"/>
      <c r="C64" s="3367"/>
      <c r="D64" s="3367"/>
      <c r="E64" s="3367"/>
      <c r="F64" s="3367"/>
      <c r="G64" s="3368"/>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363" t="s">
        <v>386</v>
      </c>
      <c r="B66" s="3334"/>
      <c r="C66" s="3334"/>
      <c r="D66" s="260">
        <f ca="1">IF(H66="情况1",0,IF(H66="情况2",D70,IF(H66="情况3",D71,IF(H66="情况4",D72))))</f>
        <v>267</v>
      </c>
      <c r="E66" s="992" t="str">
        <f>IF(H66="情况4","(销售额-原购置价)×税（费）率","销售额×税（费）率")</f>
        <v>销售额×税（费）率</v>
      </c>
      <c r="F66" s="349">
        <f>IF(H66="情况1","免征",'数据-取费表'!B41)</f>
        <v>5.6000000000000001E-2</v>
      </c>
      <c r="G66" s="350" t="s">
        <v>387</v>
      </c>
      <c r="H66" s="191" t="s">
        <v>388</v>
      </c>
      <c r="I66" s="1287"/>
      <c r="J66" s="2035"/>
      <c r="K66" s="1290">
        <v>1</v>
      </c>
      <c r="L66" s="3303" t="s">
        <v>385</v>
      </c>
      <c r="M66" s="3304"/>
      <c r="N66" s="2459"/>
      <c r="O66" s="2460"/>
      <c r="P66" s="2461"/>
      <c r="Q66" s="2029"/>
      <c r="R66" s="2029"/>
      <c r="S66" s="2029"/>
      <c r="T66" s="2029"/>
      <c r="U66" s="2029"/>
      <c r="V66" s="2029"/>
    </row>
    <row r="67" spans="1:22" ht="25.5" customHeight="1">
      <c r="A67" s="351" t="s">
        <v>390</v>
      </c>
      <c r="B67" s="3346" t="s">
        <v>391</v>
      </c>
      <c r="C67" s="3346"/>
      <c r="D67" s="352">
        <v>0</v>
      </c>
      <c r="E67" s="41" t="s">
        <v>392</v>
      </c>
      <c r="F67" s="62" t="s">
        <v>21</v>
      </c>
      <c r="G67" s="3330"/>
      <c r="H67" s="310"/>
      <c r="I67" s="1291"/>
      <c r="J67" s="2036"/>
      <c r="K67" s="1977">
        <v>2</v>
      </c>
      <c r="L67" s="3302" t="s">
        <v>389</v>
      </c>
      <c r="M67" s="3302"/>
      <c r="N67" s="1324">
        <f>'数据-取费表'!B2</f>
        <v>43316</v>
      </c>
      <c r="O67" s="1324"/>
      <c r="P67" s="1324"/>
      <c r="Q67" s="2029"/>
      <c r="R67" s="2029"/>
      <c r="S67" s="2029"/>
      <c r="T67" s="2029"/>
      <c r="U67" s="2029"/>
      <c r="V67" s="2029"/>
    </row>
    <row r="68" spans="1:22" ht="25.5" customHeight="1">
      <c r="A68" s="353"/>
      <c r="B68" s="3346" t="s">
        <v>394</v>
      </c>
      <c r="C68" s="3346"/>
      <c r="D68" s="354"/>
      <c r="E68" s="77"/>
      <c r="F68" s="355"/>
      <c r="G68" s="3331"/>
      <c r="H68" s="310"/>
      <c r="I68" s="1291"/>
      <c r="J68" s="2036"/>
      <c r="K68" s="1977">
        <v>3</v>
      </c>
      <c r="L68" s="3302" t="s">
        <v>393</v>
      </c>
      <c r="M68" s="3302"/>
      <c r="N68" s="1292">
        <f ca="1">C42</f>
        <v>8358</v>
      </c>
      <c r="O68" s="1292"/>
      <c r="P68" s="1292"/>
      <c r="Q68" s="2029"/>
      <c r="R68" s="2029"/>
      <c r="S68" s="2029"/>
      <c r="T68" s="2029"/>
      <c r="U68" s="2029"/>
      <c r="V68" s="2029"/>
    </row>
    <row r="69" spans="1:22" ht="12" customHeight="1">
      <c r="A69" s="356"/>
      <c r="B69" s="3346" t="s">
        <v>395</v>
      </c>
      <c r="C69" s="3346"/>
      <c r="D69" s="357"/>
      <c r="E69" s="73"/>
      <c r="F69" s="355"/>
      <c r="G69" s="3332"/>
      <c r="H69" s="310"/>
      <c r="I69" s="1291"/>
      <c r="J69" s="2036"/>
      <c r="K69" s="1293">
        <v>4</v>
      </c>
      <c r="L69" s="3308" t="s">
        <v>2886</v>
      </c>
      <c r="M69" s="3309"/>
      <c r="N69" s="1294">
        <f ca="1">C44</f>
        <v>8358</v>
      </c>
      <c r="O69" s="1294"/>
      <c r="P69" s="1294"/>
      <c r="Q69" s="2029"/>
      <c r="R69" s="2029"/>
      <c r="S69" s="2029"/>
      <c r="T69" s="2029"/>
      <c r="U69" s="2029"/>
      <c r="V69" s="2029"/>
    </row>
    <row r="70" spans="1:22" ht="24" customHeight="1">
      <c r="A70" s="358" t="s">
        <v>396</v>
      </c>
      <c r="B70" s="3346" t="s">
        <v>397</v>
      </c>
      <c r="C70" s="3346"/>
      <c r="D70" s="357">
        <f ca="1">ROUND(D63*'数据-取费表'!B41/(1+'数据-取费表'!C42),0)</f>
        <v>267</v>
      </c>
      <c r="E70" s="17" t="s">
        <v>398</v>
      </c>
      <c r="F70" s="359">
        <f>'数据-取费表'!B41</f>
        <v>5.6000000000000001E-2</v>
      </c>
      <c r="G70" s="360"/>
      <c r="H70" s="310"/>
      <c r="I70" s="1291"/>
      <c r="J70" s="2036"/>
      <c r="K70" s="3063"/>
      <c r="L70" s="3064"/>
      <c r="M70" s="3064"/>
      <c r="N70" s="3065" t="s">
        <v>2891</v>
      </c>
      <c r="O70" s="3064"/>
      <c r="P70" s="3066"/>
      <c r="Q70" s="2029"/>
      <c r="R70" s="2029"/>
      <c r="S70" s="2029"/>
      <c r="T70" s="2029"/>
      <c r="U70" s="2029"/>
      <c r="V70" s="2029"/>
    </row>
    <row r="71" spans="1:22" ht="12" customHeight="1">
      <c r="A71" s="358" t="s">
        <v>404</v>
      </c>
      <c r="B71" s="3345" t="s">
        <v>405</v>
      </c>
      <c r="C71" s="3357"/>
      <c r="D71" s="357">
        <f ca="1">ROUND(D63*'数据-取费表'!B41/(1+'数据-取费表'!C42),0)</f>
        <v>267</v>
      </c>
      <c r="E71" s="17" t="s">
        <v>398</v>
      </c>
      <c r="F71" s="359">
        <f>'数据-取费表'!B41</f>
        <v>5.6000000000000001E-2</v>
      </c>
      <c r="G71" s="360"/>
      <c r="H71" s="310"/>
      <c r="I71" s="1291"/>
      <c r="J71" s="2036"/>
      <c r="K71" s="3062" t="s">
        <v>399</v>
      </c>
      <c r="L71" s="3310" t="s">
        <v>400</v>
      </c>
      <c r="M71" s="3310"/>
      <c r="N71" s="3062" t="s">
        <v>401</v>
      </c>
      <c r="O71" s="3062" t="s">
        <v>402</v>
      </c>
      <c r="P71" s="3062" t="s">
        <v>403</v>
      </c>
      <c r="Q71" s="2029"/>
      <c r="R71" s="2029"/>
      <c r="S71" s="2029"/>
      <c r="T71" s="2029"/>
      <c r="U71" s="2029"/>
      <c r="V71" s="2029"/>
    </row>
    <row r="72" spans="1:22" ht="12" customHeight="1">
      <c r="A72" s="358" t="s">
        <v>407</v>
      </c>
      <c r="B72" s="3345" t="s">
        <v>408</v>
      </c>
      <c r="C72" s="3357"/>
      <c r="D72" s="357">
        <f ca="1">C86</f>
        <v>155</v>
      </c>
      <c r="E72" s="73" t="s">
        <v>409</v>
      </c>
      <c r="F72" s="359">
        <f>'数据-取费表'!B41</f>
        <v>5.6000000000000001E-2</v>
      </c>
      <c r="G72" s="360"/>
      <c r="H72" s="1297"/>
      <c r="I72" s="1291"/>
      <c r="J72" s="2036"/>
      <c r="K72" s="1977">
        <v>1</v>
      </c>
      <c r="L72" s="3307" t="s">
        <v>406</v>
      </c>
      <c r="M72" s="3307"/>
      <c r="N72" s="1295">
        <f ca="1">D66</f>
        <v>267</v>
      </c>
      <c r="O72" s="1860" t="str">
        <f>E66</f>
        <v>销售额×税（费）率</v>
      </c>
      <c r="P72" s="1296">
        <f>F66</f>
        <v>5.6000000000000001E-2</v>
      </c>
      <c r="Q72" s="2029"/>
      <c r="R72" s="2029"/>
      <c r="S72" s="2029"/>
      <c r="T72" s="2029"/>
      <c r="U72" s="2029"/>
      <c r="V72" s="2029"/>
    </row>
    <row r="73" spans="1:22" ht="24" customHeight="1">
      <c r="A73" s="3333" t="s">
        <v>411</v>
      </c>
      <c r="B73" s="3334"/>
      <c r="C73" s="3334"/>
      <c r="D73" s="361">
        <f>IF(H73="个人住宅",0,ROUND(D63*I73,0))</f>
        <v>0</v>
      </c>
      <c r="E73" s="17" t="s">
        <v>412</v>
      </c>
      <c r="F73" s="359" t="str">
        <f>IF(H73="正常",I73,"免征")</f>
        <v>免征</v>
      </c>
      <c r="G73" s="360"/>
      <c r="H73" s="191" t="s">
        <v>2458</v>
      </c>
      <c r="I73" s="359">
        <f>'数据-取费表'!B49</f>
        <v>5.0000000000000001E-4</v>
      </c>
      <c r="J73" s="2036"/>
      <c r="K73" s="1977">
        <v>2</v>
      </c>
      <c r="L73" s="3307" t="s">
        <v>410</v>
      </c>
      <c r="M73" s="3307"/>
      <c r="N73" s="1295">
        <f t="shared" ref="N73:P74" si="1">D73</f>
        <v>0</v>
      </c>
      <c r="O73" s="1860" t="str">
        <f t="shared" si="1"/>
        <v>销售额×税（费）率</v>
      </c>
      <c r="P73" s="1296" t="str">
        <f t="shared" si="1"/>
        <v>免征</v>
      </c>
      <c r="Q73" s="2029"/>
      <c r="R73" s="2029"/>
      <c r="S73" s="2029"/>
      <c r="T73" s="2029"/>
      <c r="U73" s="2029"/>
      <c r="V73" s="2029"/>
    </row>
    <row r="74" spans="1:22" ht="24.75">
      <c r="A74" s="3333" t="s">
        <v>415</v>
      </c>
      <c r="B74" s="3334"/>
      <c r="C74" s="3334"/>
      <c r="D74" s="361">
        <f ca="1">IF(H74="个人住宅",D75,D76)</f>
        <v>2183</v>
      </c>
      <c r="E74" s="17" t="s">
        <v>416</v>
      </c>
      <c r="F74" s="359" t="str">
        <f>IF(H74="正常",F76,"免征")</f>
        <v>——</v>
      </c>
      <c r="G74" s="982" t="s">
        <v>417</v>
      </c>
      <c r="H74" s="362" t="s">
        <v>413</v>
      </c>
      <c r="I74" s="42"/>
      <c r="J74" s="2036"/>
      <c r="K74" s="1977">
        <v>3</v>
      </c>
      <c r="L74" s="3307" t="s">
        <v>414</v>
      </c>
      <c r="M74" s="3307"/>
      <c r="N74" s="1295">
        <f t="shared" ca="1" si="1"/>
        <v>2183</v>
      </c>
      <c r="O74" s="1860" t="str">
        <f t="shared" si="1"/>
        <v>增值额×税（费）率</v>
      </c>
      <c r="P74" s="1298" t="str">
        <f t="shared" si="1"/>
        <v>——</v>
      </c>
      <c r="Q74" s="2029"/>
      <c r="R74" s="2029"/>
      <c r="S74" s="2029"/>
      <c r="T74" s="2029"/>
      <c r="U74" s="2029"/>
      <c r="V74" s="2029"/>
    </row>
    <row r="75" spans="1:22" ht="24">
      <c r="A75" s="358" t="s">
        <v>418</v>
      </c>
      <c r="B75" s="3314" t="s">
        <v>419</v>
      </c>
      <c r="C75" s="3315"/>
      <c r="D75" s="363">
        <v>0</v>
      </c>
      <c r="E75" s="41" t="s">
        <v>420</v>
      </c>
      <c r="F75" s="364"/>
      <c r="G75" s="360"/>
      <c r="H75" s="42"/>
      <c r="I75" s="42"/>
      <c r="J75" s="2036"/>
      <c r="K75" s="3055">
        <f>IF(H77="非个人房产","",4)</f>
        <v>4</v>
      </c>
      <c r="L75" s="3307" t="str">
        <f>IF(H77="非个人房产","——","个人所得税")</f>
        <v>个人所得税</v>
      </c>
      <c r="M75" s="3307"/>
      <c r="N75" s="1299">
        <f ca="1">D77</f>
        <v>50</v>
      </c>
      <c r="O75" s="1873" t="str">
        <f>E77</f>
        <v>销售额×税（费）率</v>
      </c>
      <c r="P75" s="1300">
        <f>F77</f>
        <v>0.01</v>
      </c>
      <c r="Q75" s="2029"/>
      <c r="R75" s="2029"/>
      <c r="S75" s="2029"/>
      <c r="T75" s="2029"/>
      <c r="U75" s="2029"/>
      <c r="V75" s="2029"/>
    </row>
    <row r="76" spans="1:22" ht="24.75">
      <c r="A76" s="358" t="s">
        <v>396</v>
      </c>
      <c r="B76" s="3314" t="s">
        <v>422</v>
      </c>
      <c r="C76" s="3356"/>
      <c r="D76" s="361">
        <f ca="1">IF(H76="转让取得",C99,C115)</f>
        <v>2183</v>
      </c>
      <c r="E76" s="17" t="s">
        <v>423</v>
      </c>
      <c r="F76" s="53" t="s">
        <v>21</v>
      </c>
      <c r="G76" s="360"/>
      <c r="H76" s="362" t="s">
        <v>424</v>
      </c>
      <c r="I76" s="42"/>
      <c r="J76" s="2036"/>
      <c r="K76" s="3055" t="str">
        <f>IF(项目基本情况!K6="上海银行",IF(K75="",4,K75+1),"")</f>
        <v/>
      </c>
      <c r="L76" s="3295" t="str">
        <f>IF(项目基本情况!K6="上海银行","其他处置费用","")</f>
        <v/>
      </c>
      <c r="M76" s="3296"/>
      <c r="N76" s="1295" t="str">
        <f>IF(项目基本情况!K6="上海银行",N89,"")</f>
        <v/>
      </c>
      <c r="O76" s="3297" t="str">
        <f>IF(项目基本情况!K6="上海银行","包含处置中涉及的律师、诉讼、拍卖、评估等费用","")</f>
        <v/>
      </c>
      <c r="P76" s="3298"/>
      <c r="Q76" s="2029"/>
      <c r="R76" s="2029"/>
      <c r="S76" s="2029"/>
      <c r="T76" s="2029"/>
      <c r="U76" s="2029"/>
      <c r="V76" s="2029"/>
    </row>
    <row r="77" spans="1:22" ht="26.25" thickBot="1">
      <c r="A77" s="3325" t="s">
        <v>426</v>
      </c>
      <c r="B77" s="3326"/>
      <c r="C77" s="3326"/>
      <c r="D77" s="365">
        <f ca="1">IF(H77="非个人房产","——",IF(H77="个人住宅",0,ROUND(D63*I77,0)))</f>
        <v>50</v>
      </c>
      <c r="E77" s="366" t="str">
        <f>IF(H77="非个人房产","——","销售额×税（费）率")</f>
        <v>销售额×税（费）率</v>
      </c>
      <c r="F77" s="367">
        <f>IF(H77="非个人房产","——",IF(H77="个人住宅","免征",I77))</f>
        <v>0.01</v>
      </c>
      <c r="G77" s="983" t="s">
        <v>417</v>
      </c>
      <c r="H77" s="362" t="s">
        <v>2887</v>
      </c>
      <c r="I77" s="368">
        <v>0.01</v>
      </c>
      <c r="J77" s="2036"/>
      <c r="K77" s="3321">
        <f>IF(AND(K75="",K76=""),4,IF(项目基本情况!K6="上海银行",K76+1,K75+1))</f>
        <v>5</v>
      </c>
      <c r="L77" s="3307" t="s">
        <v>2888</v>
      </c>
      <c r="M77" s="3061" t="s">
        <v>421</v>
      </c>
      <c r="N77" s="1301"/>
      <c r="O77" s="1302">
        <f ca="1">SUMIF(N72:N76,"&lt;9e307")</f>
        <v>2500</v>
      </c>
      <c r="P77" s="1303"/>
      <c r="Q77" s="3059">
        <f ca="1">O77/N69</f>
        <v>0.29911462072266093</v>
      </c>
      <c r="R77" s="2029"/>
      <c r="S77" s="2029"/>
      <c r="T77" s="2029"/>
      <c r="U77" s="2029"/>
      <c r="V77" s="2029"/>
    </row>
    <row r="78" spans="1:22" ht="12" customHeight="1">
      <c r="A78" s="1304"/>
      <c r="B78" s="310"/>
      <c r="C78" s="310"/>
      <c r="D78" s="310"/>
      <c r="E78" s="42"/>
      <c r="F78" s="42"/>
      <c r="G78" s="42"/>
      <c r="H78" s="1002"/>
      <c r="I78" s="310"/>
      <c r="J78" s="2036"/>
      <c r="K78" s="3321"/>
      <c r="L78" s="3307"/>
      <c r="M78" s="3061" t="s">
        <v>425</v>
      </c>
      <c r="N78" s="1301"/>
      <c r="O78" s="1302" t="str">
        <f ca="1">NUMBERSTRING(INT(O77*10000),2)&amp;"元整"</f>
        <v>贰仟伍佰万元整</v>
      </c>
      <c r="P78" s="1303"/>
      <c r="Q78" s="2029"/>
      <c r="R78" s="2029"/>
      <c r="S78" s="2029"/>
      <c r="T78" s="2029"/>
      <c r="U78" s="2029"/>
      <c r="V78" s="2029"/>
    </row>
    <row r="79" spans="1:22" ht="13.5" thickBot="1">
      <c r="A79" s="3311" t="s">
        <v>427</v>
      </c>
      <c r="B79" s="3311"/>
      <c r="C79" s="3311"/>
      <c r="D79" s="3311"/>
      <c r="E79" s="3311"/>
      <c r="F79" s="42"/>
      <c r="G79" s="42"/>
      <c r="H79" s="1002"/>
      <c r="I79" s="310"/>
      <c r="J79" s="2036"/>
      <c r="K79" s="3305">
        <f>K77+1</f>
        <v>6</v>
      </c>
      <c r="L79" s="3307" t="s">
        <v>2889</v>
      </c>
      <c r="M79" s="3061" t="s">
        <v>421</v>
      </c>
      <c r="N79" s="1301"/>
      <c r="O79" s="1302">
        <f ca="1">N69-O77</f>
        <v>5858</v>
      </c>
      <c r="P79" s="1303"/>
      <c r="Q79" s="2029"/>
      <c r="R79" s="2029"/>
      <c r="S79" s="2029"/>
      <c r="T79" s="2029"/>
      <c r="U79" s="2029"/>
      <c r="V79" s="2029"/>
    </row>
    <row r="80" spans="1:22" ht="25.5">
      <c r="A80" s="3312" t="s">
        <v>428</v>
      </c>
      <c r="B80" s="3313"/>
      <c r="C80" s="993"/>
      <c r="D80" s="993" t="s">
        <v>429</v>
      </c>
      <c r="E80" s="369" t="s">
        <v>430</v>
      </c>
      <c r="F80" s="42"/>
      <c r="G80" s="42"/>
      <c r="H80" s="1002"/>
      <c r="I80" s="310"/>
      <c r="J80" s="2029"/>
      <c r="K80" s="3306"/>
      <c r="L80" s="3307"/>
      <c r="M80" s="3061" t="s">
        <v>425</v>
      </c>
      <c r="N80" s="1301"/>
      <c r="O80" s="1302" t="str">
        <f ca="1">NUMBERSTRING(INT(O79*10000),2)&amp;"元整"</f>
        <v>伍仟捌佰伍拾捌万元整</v>
      </c>
      <c r="P80" s="1303"/>
      <c r="Q80" s="2029"/>
      <c r="R80" s="2029"/>
      <c r="S80" s="2029"/>
      <c r="T80" s="2029"/>
      <c r="U80" s="2029"/>
      <c r="V80" s="2029"/>
    </row>
    <row r="81" spans="1:26" ht="13.5" thickBot="1">
      <c r="A81" s="380" t="s">
        <v>1824</v>
      </c>
      <c r="B81" s="370" t="s">
        <v>431</v>
      </c>
      <c r="C81" s="371">
        <f ca="1">ROUND((C82+C83)/(1+'数据-取费表'!C42),0)</f>
        <v>4776</v>
      </c>
      <c r="D81" s="372"/>
      <c r="E81" s="373"/>
      <c r="F81" s="42"/>
      <c r="G81" s="42"/>
      <c r="H81" s="1002"/>
      <c r="I81" s="310"/>
      <c r="J81" s="2029"/>
      <c r="K81" s="3055">
        <f>K79+1</f>
        <v>7</v>
      </c>
      <c r="L81" s="3319" t="s">
        <v>2890</v>
      </c>
      <c r="M81" s="3320"/>
      <c r="N81" s="1305"/>
      <c r="O81" s="1306">
        <f ca="1">ROUND(O79*10000/'数据-汇总表'!E3,0)</f>
        <v>6206</v>
      </c>
      <c r="P81" s="1307"/>
      <c r="Q81" s="2029"/>
      <c r="R81" s="2029"/>
      <c r="S81" s="2029"/>
      <c r="T81" s="2029"/>
      <c r="U81" s="2029"/>
      <c r="V81" s="2029"/>
    </row>
    <row r="82" spans="1:26" ht="13.5" thickTop="1">
      <c r="A82" s="374" t="s">
        <v>1825</v>
      </c>
      <c r="B82" s="375" t="s">
        <v>432</v>
      </c>
      <c r="C82" s="376">
        <f ca="1">D63</f>
        <v>5015</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1826</v>
      </c>
      <c r="B83" s="375" t="s">
        <v>433</v>
      </c>
      <c r="C83" s="379">
        <v>0</v>
      </c>
      <c r="D83" s="377"/>
      <c r="E83" s="378"/>
      <c r="F83" s="42"/>
      <c r="G83" s="42"/>
      <c r="H83" s="1002"/>
      <c r="I83" s="310"/>
      <c r="J83" s="2029"/>
      <c r="K83" s="3294" t="s">
        <v>2877</v>
      </c>
      <c r="L83" s="3067" t="s">
        <v>2878</v>
      </c>
      <c r="M83" s="3057">
        <f ca="1">IF(N69&gt;10000,N69*0.5%,IF(AND(N69&gt;1000,N69&lt;=10000),N69*1%,IF(AND(N69&gt;100,N69&lt;=1000),N69*3%,IF(AND(N69&gt;10,N69&lt;=100),N69*5%,N69*8%))))</f>
        <v>83.58</v>
      </c>
      <c r="N83" s="53">
        <f ca="1">ROUND(M83,1)</f>
        <v>83.6</v>
      </c>
      <c r="O83" s="3060"/>
      <c r="P83" s="2029"/>
      <c r="Q83" s="2029"/>
      <c r="R83" s="2029"/>
      <c r="S83" s="2029"/>
      <c r="T83" s="2029"/>
      <c r="U83" s="2029"/>
      <c r="V83" s="2029"/>
    </row>
    <row r="84" spans="1:26" ht="12.75">
      <c r="A84" s="380" t="s">
        <v>1827</v>
      </c>
      <c r="B84" s="381" t="s">
        <v>434</v>
      </c>
      <c r="C84" s="382">
        <v>2000</v>
      </c>
      <c r="D84" s="383" t="s">
        <v>19</v>
      </c>
      <c r="E84" s="3099" t="s">
        <v>2942</v>
      </c>
      <c r="F84" s="42"/>
      <c r="G84" s="42"/>
      <c r="H84" s="1002"/>
      <c r="I84" s="310"/>
      <c r="J84" s="2029"/>
      <c r="K84" s="3294"/>
      <c r="L84" s="3067" t="s">
        <v>2879</v>
      </c>
      <c r="M84" s="3057">
        <f ca="1">IF(N69&gt;2000,N69*0.5%,IF(AND(N69&gt;1000,N69&lt;=2000),N69*0.6%,IF(AND(N69&gt;500,N69&lt;=1000),N69*0.7%,IF(AND(N69&gt;200,N69&lt;=500),N69*0.8%,IF(AND(N69&gt;100,N69&lt;=200),N69*0.9%,IF(AND(N69&gt;50,N69&lt;=100),N69*1%,IF(AND(N69&gt;20,N69&lt;=50),N69*1.5%,IF(AND(N69&gt;10,N69&lt;=20),N69*2%,IF(AND(N69&gt;1,N69&lt;=10),N69*2.5%)))))))))</f>
        <v>41.79</v>
      </c>
      <c r="N84" s="53">
        <f t="shared" ref="N84:N85" ca="1" si="2">ROUND(M84,1)</f>
        <v>41.8</v>
      </c>
      <c r="O84" s="2029" t="s">
        <v>2880</v>
      </c>
      <c r="P84" s="2029"/>
      <c r="Q84" s="2029"/>
      <c r="R84" s="2029"/>
      <c r="S84" s="2029"/>
      <c r="T84" s="2029"/>
      <c r="U84" s="2029"/>
      <c r="V84" s="2029"/>
    </row>
    <row r="85" spans="1:26" ht="12.75">
      <c r="A85" s="380" t="s">
        <v>1828</v>
      </c>
      <c r="B85" s="381" t="s">
        <v>435</v>
      </c>
      <c r="C85" s="384">
        <f ca="1">C81-C84</f>
        <v>2776</v>
      </c>
      <c r="D85" s="377" t="s">
        <v>19</v>
      </c>
      <c r="E85" s="378"/>
      <c r="F85" s="42"/>
      <c r="G85" s="42"/>
      <c r="H85" s="1002"/>
      <c r="I85" s="310"/>
      <c r="J85" s="2029"/>
      <c r="K85" s="3294"/>
      <c r="L85" s="3067" t="s">
        <v>2881</v>
      </c>
      <c r="M85" s="3057">
        <f ca="1">IF(N69&gt;1000,N69*0.1%,IF(AND(N69&gt;500,N69&lt;=1000),N69*0.5%,IF(AND(N69&gt;50,N69&lt;=500),N69*1%,IF(AND(N69&gt;1,N69&lt;=50),N69*1.5%))))</f>
        <v>8.3580000000000005</v>
      </c>
      <c r="N85" s="53">
        <f t="shared" ca="1" si="2"/>
        <v>8.4</v>
      </c>
      <c r="O85" s="2029" t="s">
        <v>2880</v>
      </c>
      <c r="P85" s="2029"/>
      <c r="Q85" s="2029"/>
      <c r="R85" s="2029"/>
      <c r="S85" s="2029"/>
      <c r="T85" s="2029"/>
      <c r="U85" s="2029"/>
      <c r="V85" s="2029"/>
    </row>
    <row r="86" spans="1:26" ht="13.5" thickBot="1">
      <c r="A86" s="385" t="s">
        <v>1829</v>
      </c>
      <c r="B86" s="386" t="s">
        <v>436</v>
      </c>
      <c r="C86" s="387">
        <f ca="1">IF(C85&lt;=0,0,ROUND(C85*D86,0))</f>
        <v>155</v>
      </c>
      <c r="D86" s="388">
        <f>'数据-取费表'!B41</f>
        <v>5.6000000000000001E-2</v>
      </c>
      <c r="E86" s="389"/>
      <c r="F86" s="42"/>
      <c r="G86" s="42"/>
      <c r="H86" s="1002"/>
      <c r="I86" s="310"/>
      <c r="J86" s="2029"/>
      <c r="K86" s="3294"/>
      <c r="L86" s="3067" t="s">
        <v>2882</v>
      </c>
      <c r="M86" s="3057">
        <f ca="1">N69*0.5%</f>
        <v>41.79</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294"/>
      <c r="L87" s="3067" t="s">
        <v>2884</v>
      </c>
      <c r="M87" s="3057">
        <f ca="1">IF(N69&gt;=10000,(8.25+(N69-10000)*0.01%),IF(AND(N69&gt;=8000,N69&lt;10000),(7.85+(N69-8000)*0.02%),IF(AND(N69&gt;=5000,N69&lt;8000),(6.65+(N69-5000)*0.04%),IF(AND(N69&gt;=2000,N69&lt;5000),(4.25+(PN69-2000)*0.08%),IF(AND(N69&gt;=1000,N69&lt;2000),(2.75+(N69-1000)*0.15%),IF(AND(N69&gt;=100,N69&lt;1000),(0.5+(N69-100)*0.25%),IF(AND(N69&gt;0,N69&lt;100),N69*0.5%)))))))</f>
        <v>7.9215999999999998</v>
      </c>
      <c r="N87" s="53">
        <f ca="1">ROUND(M87*0.9,1)</f>
        <v>7.1</v>
      </c>
      <c r="O87" s="3060"/>
      <c r="P87" s="310"/>
      <c r="Q87" s="2029"/>
      <c r="R87" s="2029"/>
      <c r="S87" s="2029"/>
      <c r="T87" s="2029"/>
      <c r="U87" s="2029"/>
      <c r="V87" s="2029"/>
      <c r="W87" s="291"/>
      <c r="X87" s="291"/>
      <c r="Y87" s="291"/>
      <c r="Z87" s="291"/>
    </row>
    <row r="88" spans="1:26" s="1313" customFormat="1" ht="15" thickBot="1">
      <c r="A88" s="3348" t="s">
        <v>437</v>
      </c>
      <c r="B88" s="3349"/>
      <c r="C88" s="3349"/>
      <c r="D88" s="3349"/>
      <c r="E88" s="3349"/>
      <c r="F88" s="3349"/>
      <c r="G88" s="3349"/>
      <c r="H88" s="3349"/>
      <c r="I88" s="1314"/>
      <c r="J88" s="2037"/>
      <c r="K88" s="3294"/>
      <c r="L88" s="3067" t="s">
        <v>2885</v>
      </c>
      <c r="M88" s="3057">
        <f ca="1">IF(N69&gt;10000,N69*0.5%,IF(AND(N69&gt;5000,N69&lt;=10000),N69*1%,IF(AND(N69&gt;1000,N69&lt;=5000),N69*2%,IF(AND(N69&gt;200,N69&lt;=1000),N69*3%,N69*5%))))</f>
        <v>83.58</v>
      </c>
      <c r="N88" s="53">
        <f ca="1">ROUND(M88,1)</f>
        <v>83.6</v>
      </c>
      <c r="O88" s="3060"/>
      <c r="P88" s="11"/>
      <c r="Q88" s="2034"/>
      <c r="R88" s="2034"/>
      <c r="S88" s="2034"/>
      <c r="T88" s="2034"/>
      <c r="U88" s="2034"/>
      <c r="V88" s="2034"/>
      <c r="W88" s="2038"/>
      <c r="X88" s="2038"/>
      <c r="Y88" s="2038"/>
      <c r="Z88" s="2038"/>
    </row>
    <row r="89" spans="1:26" s="1313" customFormat="1" ht="14.25">
      <c r="A89" s="3312" t="s">
        <v>428</v>
      </c>
      <c r="B89" s="3313"/>
      <c r="C89" s="993"/>
      <c r="D89" s="993" t="s">
        <v>429</v>
      </c>
      <c r="E89" s="390" t="s">
        <v>438</v>
      </c>
      <c r="F89" s="391"/>
      <c r="G89" s="391"/>
      <c r="H89" s="392"/>
      <c r="I89" s="1315"/>
      <c r="J89" s="2039"/>
      <c r="K89" s="3294"/>
      <c r="L89" s="3067" t="s">
        <v>27</v>
      </c>
      <c r="M89" s="3058"/>
      <c r="N89" s="53">
        <f ca="1">ROUND(SUM(N83:N88),0)</f>
        <v>225</v>
      </c>
      <c r="O89" s="3068">
        <f ca="1">N89/N69</f>
        <v>2.6920315865039485E-2</v>
      </c>
      <c r="P89" s="2034"/>
      <c r="Q89" s="2034"/>
      <c r="R89" s="2034"/>
      <c r="S89" s="2034"/>
      <c r="T89" s="2034"/>
      <c r="U89" s="2034"/>
      <c r="V89" s="2034"/>
      <c r="W89" s="2038"/>
      <c r="X89" s="2038"/>
      <c r="Y89" s="2038"/>
      <c r="Z89" s="2038"/>
    </row>
    <row r="90" spans="1:26" s="1313" customFormat="1" ht="14.25">
      <c r="A90" s="380" t="s">
        <v>1824</v>
      </c>
      <c r="B90" s="381" t="s">
        <v>439</v>
      </c>
      <c r="C90" s="384">
        <f ca="1">ROUND(D63/(1+'数据-取费表'!C42),0)</f>
        <v>4776</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1830</v>
      </c>
      <c r="B91" s="347" t="s">
        <v>440</v>
      </c>
      <c r="C91" s="384">
        <f ca="1">C92+C96</f>
        <v>2590</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1832</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1833</v>
      </c>
      <c r="B94" s="399" t="s">
        <v>446</v>
      </c>
      <c r="C94" s="377">
        <f>IF(F93="购房发票",ROUND(C93*H93*5%,0),0)</f>
        <v>500</v>
      </c>
      <c r="D94" s="400">
        <v>0.05</v>
      </c>
      <c r="E94" s="3345" t="s">
        <v>447</v>
      </c>
      <c r="F94" s="3346"/>
      <c r="G94" s="3346"/>
      <c r="H94" s="3347"/>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2432</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1835</v>
      </c>
      <c r="B96" s="375" t="s">
        <v>450</v>
      </c>
      <c r="C96" s="404">
        <f ca="1">ROUND(D63*D96/(1+'数据-取费表'!C42),0)</f>
        <v>29</v>
      </c>
      <c r="D96" s="405">
        <f>'数据-取费表'!B43</f>
        <v>6.000000000000001E-3</v>
      </c>
      <c r="E96" s="3335" t="s">
        <v>2431</v>
      </c>
      <c r="F96" s="3336"/>
      <c r="G96" s="3336"/>
      <c r="H96" s="3337"/>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1" t="s">
        <v>451</v>
      </c>
      <c r="C97" s="384">
        <f ca="1">C90-C91</f>
        <v>2186</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1" t="s">
        <v>452</v>
      </c>
      <c r="C98" s="406">
        <f ca="1">IF(C97&lt;=0,0,C97/C91)</f>
        <v>0.84401544401544404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6" t="s">
        <v>453</v>
      </c>
      <c r="C99" s="407">
        <f ca="1">ROUND(IF(C97&lt;=0,0,IF(C98&gt;=200%,C97*60%-C91*35%,IF(C98&gt;=100%,C97*50%-C91*15%,IF(C98&gt;=50%,C97*40%-C91*5%,IF(C98&lt;50%,C97*30%,0))))),0)</f>
        <v>745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48" t="s">
        <v>454</v>
      </c>
      <c r="B101" s="3349"/>
      <c r="C101" s="3349"/>
      <c r="D101" s="3349"/>
      <c r="E101" s="3349"/>
      <c r="F101" s="3349"/>
      <c r="G101" s="3349"/>
      <c r="H101" s="3349"/>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12" t="s">
        <v>428</v>
      </c>
      <c r="B102" s="3313"/>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1824</v>
      </c>
      <c r="B103" s="381" t="s">
        <v>439</v>
      </c>
      <c r="C103" s="384">
        <f ca="1">ROUND(D63/(1+'数据-取费表'!C42),0)</f>
        <v>4776</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1830</v>
      </c>
      <c r="B104" s="347" t="s">
        <v>440</v>
      </c>
      <c r="C104" s="384">
        <f ca="1">IF(H106="仅含出让金",C105+C108+C109+C110+C111+C112,C105+C109+C110+C111+C112)</f>
        <v>719</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1831</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1832</v>
      </c>
      <c r="B106" s="375" t="s">
        <v>456</v>
      </c>
      <c r="C106" s="415">
        <v>555</v>
      </c>
      <c r="D106" s="405"/>
      <c r="E106" s="416" t="s">
        <v>457</v>
      </c>
      <c r="F106" s="985"/>
      <c r="G106" s="417" t="s">
        <v>458</v>
      </c>
      <c r="H106" s="418"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5" t="s">
        <v>461</v>
      </c>
      <c r="C109" s="404">
        <f>IF(H109="——",IF(F1="现房",'剩余法-现房'!C18,'剩余法-待开发'!C18),I109)</f>
        <v>55</v>
      </c>
      <c r="D109" s="405"/>
      <c r="E109" s="3338" t="s">
        <v>462</v>
      </c>
      <c r="F109" s="3336"/>
      <c r="G109" s="3336"/>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5" t="s">
        <v>463</v>
      </c>
      <c r="C110" s="404">
        <f>ROUND((C105+C108+C109)*D110,0)</f>
        <v>63</v>
      </c>
      <c r="D110" s="405">
        <v>0.1</v>
      </c>
      <c r="E110" s="3338" t="s">
        <v>464</v>
      </c>
      <c r="F110" s="3336"/>
      <c r="G110" s="3336"/>
      <c r="H110" s="3337"/>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5" t="s">
        <v>450</v>
      </c>
      <c r="C111" s="404">
        <f ca="1">ROUND(D63*D111/(1+'数据-取费表'!C42),0)</f>
        <v>29</v>
      </c>
      <c r="D111" s="405">
        <f>'数据-取费表'!B43</f>
        <v>6.000000000000001E-3</v>
      </c>
      <c r="E111" s="3335" t="s">
        <v>2431</v>
      </c>
      <c r="F111" s="3336"/>
      <c r="G111" s="3336"/>
      <c r="H111" s="3337"/>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5" t="s">
        <v>465</v>
      </c>
      <c r="C112" s="404">
        <f>ROUND(C108*D112,0)</f>
        <v>0</v>
      </c>
      <c r="D112" s="405">
        <v>0.2</v>
      </c>
      <c r="E112" s="3338" t="s">
        <v>2456</v>
      </c>
      <c r="F112" s="3336"/>
      <c r="G112" s="3336"/>
      <c r="H112" s="3337"/>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1" t="s">
        <v>451</v>
      </c>
      <c r="C113" s="384">
        <f ca="1">ROUND(C103-C104,0)</f>
        <v>4057</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1" t="s">
        <v>452</v>
      </c>
      <c r="C114" s="406">
        <f ca="1">IF(C113&lt;=0,0,C113/C104)</f>
        <v>5.642559109874826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6" t="s">
        <v>453</v>
      </c>
      <c r="C115" s="407">
        <f ca="1">ROUND(IF(C113&lt;=0,0,IF(C114&gt;=200%,C113*60%-C104*35%,IF(C114&gt;=100%,C113*50%-C104*15%,IF(C114&gt;=50%,C113*40%-C104*5%,IF(C114&lt;50%,C113*30%,0))))),0)</f>
        <v>2183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G120" sqref="G12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7770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8232</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28687</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1912</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521</v>
      </c>
      <c r="B6" s="512"/>
      <c r="C6" s="3393" t="s">
        <v>522</v>
      </c>
      <c r="D6" s="3394"/>
      <c r="E6" s="3393" t="s">
        <v>523</v>
      </c>
      <c r="F6" s="3394"/>
      <c r="G6" s="3393" t="s">
        <v>524</v>
      </c>
      <c r="H6" s="3394"/>
      <c r="I6" s="3393" t="s">
        <v>525</v>
      </c>
      <c r="J6" s="3394"/>
      <c r="K6" s="513" t="s">
        <v>526</v>
      </c>
      <c r="L6" s="2134"/>
      <c r="M6" s="2133"/>
      <c r="N6" s="2133"/>
      <c r="O6" s="2135"/>
      <c r="P6" s="3395" t="s">
        <v>527</v>
      </c>
      <c r="Q6" s="3396"/>
      <c r="R6" s="3381" t="s">
        <v>523</v>
      </c>
      <c r="S6" s="3382"/>
      <c r="T6" s="3381" t="s">
        <v>524</v>
      </c>
      <c r="U6" s="3382"/>
      <c r="V6" s="3401" t="s">
        <v>525</v>
      </c>
      <c r="W6" s="3401"/>
      <c r="X6" s="1567"/>
      <c r="Y6" s="3381" t="s">
        <v>527</v>
      </c>
      <c r="Z6" s="3382"/>
      <c r="AA6" s="3376" t="s">
        <v>523</v>
      </c>
      <c r="AB6" s="3377" t="s">
        <v>524</v>
      </c>
      <c r="AC6" s="3376" t="s">
        <v>525</v>
      </c>
    </row>
    <row r="7" spans="1:30" ht="43.5" customHeight="1">
      <c r="A7" s="514"/>
      <c r="B7" s="515"/>
      <c r="C7" s="3404" t="s">
        <v>3117</v>
      </c>
      <c r="D7" s="3405"/>
      <c r="E7" s="3404" t="str">
        <f>土地案例!A4</f>
        <v>增城区荔城街三联村83001204A18082地块</v>
      </c>
      <c r="F7" s="3405"/>
      <c r="G7" s="3404" t="str">
        <f>土地案例!A5</f>
        <v>增城区荔城街三联村83001204A18062地块</v>
      </c>
      <c r="H7" s="3405"/>
      <c r="I7" s="3404" t="str">
        <f>土地案例!A3</f>
        <v>增城区83001221A18064地块</v>
      </c>
      <c r="J7" s="3405"/>
      <c r="K7" s="513"/>
      <c r="L7" s="2134"/>
      <c r="M7" s="2133"/>
      <c r="N7" s="2133"/>
      <c r="O7" s="2135"/>
      <c r="P7" s="3397"/>
      <c r="Q7" s="3398"/>
      <c r="R7" s="3383"/>
      <c r="S7" s="3384"/>
      <c r="T7" s="3383"/>
      <c r="U7" s="3384"/>
      <c r="V7" s="3401"/>
      <c r="W7" s="3401"/>
      <c r="X7" s="1567"/>
      <c r="Y7" s="3383"/>
      <c r="Z7" s="3384"/>
      <c r="AA7" s="3377"/>
      <c r="AB7" s="3377"/>
      <c r="AC7" s="3377"/>
    </row>
    <row r="8" spans="1:30" ht="21" thickBot="1">
      <c r="A8" s="514"/>
      <c r="B8" s="515"/>
      <c r="C8" s="3406" t="s">
        <v>3118</v>
      </c>
      <c r="D8" s="3407"/>
      <c r="E8" s="3406" t="s">
        <v>3118</v>
      </c>
      <c r="F8" s="3407"/>
      <c r="G8" s="3402" t="s">
        <v>3118</v>
      </c>
      <c r="H8" s="3403"/>
      <c r="I8" s="3402" t="s">
        <v>3118</v>
      </c>
      <c r="J8" s="3403"/>
      <c r="K8" s="513" t="s">
        <v>528</v>
      </c>
      <c r="L8" s="2134"/>
      <c r="M8" s="2133"/>
      <c r="N8" s="2133"/>
      <c r="O8" s="2135"/>
      <c r="P8" s="3399"/>
      <c r="Q8" s="3400"/>
      <c r="R8" s="3383"/>
      <c r="S8" s="3384"/>
      <c r="T8" s="3385"/>
      <c r="U8" s="3386"/>
      <c r="V8" s="3401"/>
      <c r="W8" s="3401"/>
      <c r="X8" s="1567"/>
      <c r="Y8" s="3385"/>
      <c r="Z8" s="3386"/>
      <c r="AA8" s="3378"/>
      <c r="AB8" s="3378"/>
      <c r="AC8" s="3378"/>
    </row>
    <row r="9" spans="1:30" s="1219" customFormat="1" ht="21" thickBot="1">
      <c r="A9" s="2913"/>
      <c r="B9" s="2920" t="s">
        <v>529</v>
      </c>
      <c r="C9" s="2912">
        <f>'数据-取费表'!B2</f>
        <v>43316</v>
      </c>
      <c r="D9" s="519">
        <v>100</v>
      </c>
      <c r="E9" s="520" t="str">
        <f>土地案例!H4</f>
        <v>2018-04-28</v>
      </c>
      <c r="F9" s="521">
        <f>SUMIF(72:72,YEAR(E9)&amp;"-"&amp;INT((MONTH(E9)+2)/3),73:73)</f>
        <v>100</v>
      </c>
      <c r="G9" s="522" t="str">
        <f>土地案例!H5</f>
        <v>2018-04-28</v>
      </c>
      <c r="H9" s="519">
        <f>SUMIF(72:72,YEAR(G9)&amp;"-"&amp;INT((MONTH(G9)+2)/3),73:73)</f>
        <v>100</v>
      </c>
      <c r="I9" s="522" t="str">
        <f>土地案例!H3</f>
        <v>2018-06-28</v>
      </c>
      <c r="J9" s="519">
        <f>SUMIF(72:72,YEAR(I9)&amp;"-"&amp;INT((MONTH(I9)+2)/3),73:73)</f>
        <v>100</v>
      </c>
      <c r="K9" s="523"/>
      <c r="L9" s="2136"/>
      <c r="M9" s="2133"/>
      <c r="N9" s="2133"/>
      <c r="O9" s="2137"/>
      <c r="P9" s="3379" t="s">
        <v>530</v>
      </c>
      <c r="Q9" s="3388"/>
      <c r="R9" s="1568" t="s">
        <v>8</v>
      </c>
      <c r="S9" s="1569">
        <f t="shared" ref="S9:S17" si="0">F9</f>
        <v>100</v>
      </c>
      <c r="T9" s="1568" t="s">
        <v>8</v>
      </c>
      <c r="U9" s="1569">
        <f t="shared" ref="U9:U17" si="1">H9</f>
        <v>100</v>
      </c>
      <c r="V9" s="1568" t="s">
        <v>8</v>
      </c>
      <c r="W9" s="1569">
        <f t="shared" ref="W9:W17" si="2">J9</f>
        <v>100</v>
      </c>
      <c r="X9" s="1570"/>
      <c r="Y9" s="3379" t="s">
        <v>530</v>
      </c>
      <c r="Z9" s="3380"/>
      <c r="AA9" s="1571">
        <f>D9/F9</f>
        <v>1</v>
      </c>
      <c r="AB9" s="1571">
        <f>D9/H9</f>
        <v>1</v>
      </c>
      <c r="AC9" s="1571">
        <f>D9/J9</f>
        <v>1</v>
      </c>
    </row>
    <row r="10" spans="1:30" s="1219" customFormat="1" ht="21" thickBot="1">
      <c r="A10" s="2914"/>
      <c r="B10" s="2921" t="s">
        <v>531</v>
      </c>
      <c r="C10" s="855" t="s">
        <v>532</v>
      </c>
      <c r="D10" s="519">
        <v>100</v>
      </c>
      <c r="E10" s="524" t="s">
        <v>3092</v>
      </c>
      <c r="F10" s="521">
        <f>SUMIF(75:75,E10,76:76)-SUMIF(75:75,C10,76:76)+100</f>
        <v>100</v>
      </c>
      <c r="G10" s="524" t="s">
        <v>3092</v>
      </c>
      <c r="H10" s="519">
        <f>SUMIF(75:75,G10,76:76)-SUMIF(75:75,C10,76:76)+100</f>
        <v>100</v>
      </c>
      <c r="I10" s="524" t="s">
        <v>3092</v>
      </c>
      <c r="J10" s="519">
        <f>SUMIF(75:75,I10,76:76)-SUMIF(75:75,C10,76:76)+100</f>
        <v>100</v>
      </c>
      <c r="K10" s="523"/>
      <c r="L10" s="2136"/>
      <c r="M10" s="2133"/>
      <c r="N10" s="2133"/>
      <c r="O10" s="2137"/>
      <c r="P10" s="3379" t="s">
        <v>533</v>
      </c>
      <c r="Q10" s="3380"/>
      <c r="R10" s="1568" t="s">
        <v>8</v>
      </c>
      <c r="S10" s="1569">
        <f t="shared" si="0"/>
        <v>100</v>
      </c>
      <c r="T10" s="1568" t="s">
        <v>8</v>
      </c>
      <c r="U10" s="1569">
        <f t="shared" si="1"/>
        <v>100</v>
      </c>
      <c r="V10" s="1568" t="s">
        <v>8</v>
      </c>
      <c r="W10" s="1569">
        <f t="shared" si="2"/>
        <v>100</v>
      </c>
      <c r="X10" s="1570"/>
      <c r="Y10" s="3379" t="s">
        <v>533</v>
      </c>
      <c r="Z10" s="3380"/>
      <c r="AA10" s="1571">
        <f t="shared" ref="AA10:AA47" si="3">D10/F10</f>
        <v>1</v>
      </c>
      <c r="AB10" s="1571">
        <f t="shared" ref="AB10:AB47" si="4">D10/H10</f>
        <v>1</v>
      </c>
      <c r="AC10" s="1571">
        <f t="shared" ref="AC10:AC47" si="5">D10/J10</f>
        <v>1</v>
      </c>
    </row>
    <row r="11" spans="1:30" s="1219" customFormat="1" ht="20.25">
      <c r="A11" s="2915"/>
      <c r="B11" s="2922" t="s">
        <v>2759</v>
      </c>
      <c r="C11" s="2909"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36"/>
      <c r="M11" s="2133"/>
      <c r="N11" s="2133"/>
      <c r="O11" s="2138"/>
      <c r="P11" s="3387" t="s">
        <v>535</v>
      </c>
      <c r="Q11" s="1150" t="str">
        <f t="shared" ref="Q11:Q17" si="6">B11</f>
        <v>用途</v>
      </c>
      <c r="R11" s="1568" t="s">
        <v>8</v>
      </c>
      <c r="S11" s="1569">
        <f t="shared" si="0"/>
        <v>100</v>
      </c>
      <c r="T11" s="1568" t="s">
        <v>8</v>
      </c>
      <c r="U11" s="1569">
        <f t="shared" si="1"/>
        <v>100</v>
      </c>
      <c r="V11" s="1568" t="s">
        <v>8</v>
      </c>
      <c r="W11" s="1569">
        <f t="shared" si="2"/>
        <v>100</v>
      </c>
      <c r="X11" s="1570"/>
      <c r="Y11" s="3344" t="s">
        <v>536</v>
      </c>
      <c r="Z11" s="1149" t="str">
        <f t="shared" ref="Z11:Z17" si="7">Q11</f>
        <v>用途</v>
      </c>
      <c r="AA11" s="1571">
        <f t="shared" si="3"/>
        <v>1</v>
      </c>
      <c r="AB11" s="1571">
        <f t="shared" si="4"/>
        <v>1</v>
      </c>
      <c r="AC11" s="1571">
        <f t="shared" si="5"/>
        <v>1</v>
      </c>
    </row>
    <row r="12" spans="1:30" s="1337" customFormat="1" ht="27">
      <c r="A12" s="2916"/>
      <c r="B12" s="2921" t="s">
        <v>2760</v>
      </c>
      <c r="C12" s="909">
        <f>项目基本情况!D19</f>
        <v>50.22</v>
      </c>
      <c r="D12" s="254">
        <v>100</v>
      </c>
      <c r="E12" s="528" t="s">
        <v>3120</v>
      </c>
      <c r="F12" s="254">
        <f>ROUND(100/'数据-取费表'!G16,0)</f>
        <v>111</v>
      </c>
      <c r="G12" s="529" t="s">
        <v>3120</v>
      </c>
      <c r="H12" s="254">
        <f>ROUND(100/'数据-取费表'!G16,0)</f>
        <v>111</v>
      </c>
      <c r="I12" s="529" t="s">
        <v>3120</v>
      </c>
      <c r="J12" s="254">
        <f>ROUND(100/'数据-取费表'!G16,0)</f>
        <v>111</v>
      </c>
      <c r="K12" s="530"/>
      <c r="L12" s="2139"/>
      <c r="M12" s="2133"/>
      <c r="N12" s="2133"/>
      <c r="O12" s="2140"/>
      <c r="P12" s="3387"/>
      <c r="Q12" s="1150" t="str">
        <f t="shared" si="6"/>
        <v>土地使用年限（年）</v>
      </c>
      <c r="R12" s="1568" t="s">
        <v>8</v>
      </c>
      <c r="S12" s="1569">
        <f t="shared" si="0"/>
        <v>111</v>
      </c>
      <c r="T12" s="1568" t="s">
        <v>8</v>
      </c>
      <c r="U12" s="1569">
        <f t="shared" si="1"/>
        <v>111</v>
      </c>
      <c r="V12" s="1568" t="s">
        <v>8</v>
      </c>
      <c r="W12" s="1569">
        <f t="shared" si="2"/>
        <v>111</v>
      </c>
      <c r="X12" s="1570"/>
      <c r="Y12" s="3344"/>
      <c r="Z12" s="1149" t="str">
        <f t="shared" si="7"/>
        <v>土地使用年限（年）</v>
      </c>
      <c r="AA12" s="1571">
        <f t="shared" si="3"/>
        <v>0.90090090090090091</v>
      </c>
      <c r="AB12" s="1571">
        <f t="shared" si="4"/>
        <v>0.90090090090090091</v>
      </c>
      <c r="AC12" s="1571">
        <f t="shared" si="5"/>
        <v>0.90090090090090091</v>
      </c>
    </row>
    <row r="13" spans="1:30" ht="21" thickBot="1">
      <c r="A13" s="2917"/>
      <c r="B13" s="2921" t="s">
        <v>2761</v>
      </c>
      <c r="C13" s="533">
        <f>'数据-汇总表'!I7</f>
        <v>2.38</v>
      </c>
      <c r="D13" s="254">
        <v>100</v>
      </c>
      <c r="E13" s="532">
        <v>3</v>
      </c>
      <c r="F13" s="254">
        <f>LOOKUP(E13,82:82,83:83)-LOOKUP(C13,82:82,83:83)+100</f>
        <v>97</v>
      </c>
      <c r="G13" s="533">
        <v>3</v>
      </c>
      <c r="H13" s="254">
        <f>LOOKUP(G13,82:82,83:83)-LOOKUP(C13,82:82,83:83)+100</f>
        <v>97</v>
      </c>
      <c r="I13" s="532">
        <f>土地案例!F3</f>
        <v>3</v>
      </c>
      <c r="J13" s="254">
        <f>LOOKUP(I13,82:82,83:83)-LOOKUP(C13,82:82,83:83)+100</f>
        <v>97</v>
      </c>
      <c r="K13" s="3195">
        <v>3</v>
      </c>
      <c r="L13" s="2141"/>
      <c r="M13" s="2133"/>
      <c r="N13" s="2133"/>
      <c r="O13" s="2142"/>
      <c r="P13" s="3387"/>
      <c r="Q13" s="1150" t="str">
        <f t="shared" si="6"/>
        <v>容积率</v>
      </c>
      <c r="R13" s="1568" t="s">
        <v>8</v>
      </c>
      <c r="S13" s="1569">
        <f t="shared" si="0"/>
        <v>97</v>
      </c>
      <c r="T13" s="1568" t="s">
        <v>8</v>
      </c>
      <c r="U13" s="1569">
        <f t="shared" si="1"/>
        <v>97</v>
      </c>
      <c r="V13" s="1568" t="s">
        <v>8</v>
      </c>
      <c r="W13" s="1569">
        <f t="shared" si="2"/>
        <v>97</v>
      </c>
      <c r="X13" s="1570"/>
      <c r="Y13" s="3344"/>
      <c r="Z13" s="1149" t="str">
        <f t="shared" si="7"/>
        <v>容积率</v>
      </c>
      <c r="AA13" s="1571">
        <f t="shared" si="3"/>
        <v>1.0309278350515463</v>
      </c>
      <c r="AB13" s="1571">
        <f t="shared" si="4"/>
        <v>1.0309278350515463</v>
      </c>
      <c r="AC13" s="1571">
        <f t="shared" si="5"/>
        <v>1.0309278350515463</v>
      </c>
    </row>
    <row r="14" spans="1:30" s="1219" customFormat="1" ht="20.25" hidden="1">
      <c r="A14" s="2914"/>
      <c r="B14" s="2923" t="s">
        <v>2762</v>
      </c>
      <c r="C14" s="2910"/>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387"/>
      <c r="Q14" s="1150" t="str">
        <f t="shared" si="6"/>
        <v>配建</v>
      </c>
      <c r="R14" s="1568" t="s">
        <v>8</v>
      </c>
      <c r="S14" s="1569">
        <f t="shared" si="0"/>
        <v>100</v>
      </c>
      <c r="T14" s="1568" t="s">
        <v>8</v>
      </c>
      <c r="U14" s="1569">
        <f t="shared" si="1"/>
        <v>100</v>
      </c>
      <c r="V14" s="1568" t="s">
        <v>8</v>
      </c>
      <c r="W14" s="1569">
        <f t="shared" si="2"/>
        <v>100</v>
      </c>
      <c r="X14" s="1570"/>
      <c r="Y14" s="3344"/>
      <c r="Z14" s="1149" t="str">
        <f t="shared" si="7"/>
        <v>配建</v>
      </c>
      <c r="AA14" s="1571">
        <f>D14/F14</f>
        <v>1</v>
      </c>
      <c r="AB14" s="1571">
        <f>D14/H14</f>
        <v>1</v>
      </c>
      <c r="AC14" s="1571">
        <f>D14/J14</f>
        <v>1</v>
      </c>
    </row>
    <row r="15" spans="1:30" ht="20.25" hidden="1">
      <c r="A15" s="2918"/>
      <c r="B15" s="2924">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387"/>
      <c r="Q15" s="1150">
        <f t="shared" si="6"/>
        <v>111</v>
      </c>
      <c r="R15" s="1568" t="s">
        <v>8</v>
      </c>
      <c r="S15" s="1569">
        <f t="shared" si="0"/>
        <v>100</v>
      </c>
      <c r="T15" s="1568" t="s">
        <v>8</v>
      </c>
      <c r="U15" s="1569">
        <f t="shared" si="1"/>
        <v>100</v>
      </c>
      <c r="V15" s="1568" t="s">
        <v>8</v>
      </c>
      <c r="W15" s="1569">
        <f t="shared" si="2"/>
        <v>100</v>
      </c>
      <c r="X15" s="1570"/>
      <c r="Y15" s="3344"/>
      <c r="Z15" s="1149">
        <f t="shared" si="7"/>
        <v>111</v>
      </c>
      <c r="AA15" s="1571">
        <f>D15/F15</f>
        <v>1</v>
      </c>
      <c r="AB15" s="1571">
        <f>D15/H15</f>
        <v>1</v>
      </c>
      <c r="AC15" s="1571">
        <f>D15/J15</f>
        <v>1</v>
      </c>
    </row>
    <row r="16" spans="1:30" ht="21" hidden="1" thickBot="1">
      <c r="A16" s="2919"/>
      <c r="B16" s="2925">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387"/>
      <c r="Q16" s="1150">
        <f t="shared" si="6"/>
        <v>111</v>
      </c>
      <c r="R16" s="1568" t="s">
        <v>8</v>
      </c>
      <c r="S16" s="1569">
        <f t="shared" si="0"/>
        <v>100</v>
      </c>
      <c r="T16" s="1568" t="s">
        <v>8</v>
      </c>
      <c r="U16" s="1569">
        <f t="shared" si="1"/>
        <v>100</v>
      </c>
      <c r="V16" s="1568" t="s">
        <v>8</v>
      </c>
      <c r="W16" s="1569">
        <f t="shared" si="2"/>
        <v>100</v>
      </c>
      <c r="X16" s="1570"/>
      <c r="Y16" s="3344"/>
      <c r="Z16" s="1149">
        <f t="shared" si="7"/>
        <v>111</v>
      </c>
      <c r="AA16" s="1571">
        <f>D16/F16</f>
        <v>1</v>
      </c>
      <c r="AB16" s="1571">
        <f>D16/H16</f>
        <v>1</v>
      </c>
      <c r="AC16" s="1571">
        <f>D16/J16</f>
        <v>1</v>
      </c>
    </row>
    <row r="17" spans="1:29" ht="20.25">
      <c r="A17" s="2911" t="s">
        <v>2757</v>
      </c>
      <c r="B17" s="577" t="s">
        <v>295</v>
      </c>
      <c r="C17" s="547" t="str">
        <f>估价对象房地状况!C15</f>
        <v>较好</v>
      </c>
      <c r="D17" s="550">
        <v>100</v>
      </c>
      <c r="E17" s="551"/>
      <c r="F17" s="548">
        <f>SUMIF(90:90,E18,91:91)-SUMIF(90:90,C18,91:91)+100</f>
        <v>97</v>
      </c>
      <c r="G17" s="549"/>
      <c r="H17" s="548">
        <f>SUMIF(90:90,G18,91:91)-SUMIF(90:90,C18,91:91)+100</f>
        <v>97</v>
      </c>
      <c r="I17" s="551"/>
      <c r="J17" s="548">
        <f>SUMIF(90:90,I18,91:91)-SUMIF(90:90,C18,91:91)+100</f>
        <v>100</v>
      </c>
      <c r="K17" s="534">
        <v>3</v>
      </c>
      <c r="L17" s="2143"/>
      <c r="M17" s="2133"/>
      <c r="N17" s="2133"/>
      <c r="O17" s="2142"/>
      <c r="P17" s="3389" t="s">
        <v>540</v>
      </c>
      <c r="Q17" s="1572" t="str">
        <f t="shared" si="6"/>
        <v>居住社区成熟度</v>
      </c>
      <c r="R17" s="1573" t="s">
        <v>8</v>
      </c>
      <c r="S17" s="1574">
        <f t="shared" si="0"/>
        <v>97</v>
      </c>
      <c r="T17" s="1573" t="s">
        <v>8</v>
      </c>
      <c r="U17" s="1574">
        <f t="shared" si="1"/>
        <v>97</v>
      </c>
      <c r="V17" s="1573" t="s">
        <v>8</v>
      </c>
      <c r="W17" s="1574">
        <f t="shared" si="2"/>
        <v>100</v>
      </c>
      <c r="X17" s="1567"/>
      <c r="Y17" s="3389" t="s">
        <v>540</v>
      </c>
      <c r="Z17" s="1575" t="str">
        <f t="shared" si="7"/>
        <v>居住社区成熟度</v>
      </c>
      <c r="AA17" s="1576">
        <f t="shared" si="3"/>
        <v>1.0309278350515463</v>
      </c>
      <c r="AB17" s="1576">
        <f t="shared" si="4"/>
        <v>1.0309278350515463</v>
      </c>
      <c r="AC17" s="1576">
        <f t="shared" si="5"/>
        <v>1</v>
      </c>
    </row>
    <row r="18" spans="1:29" ht="20.25">
      <c r="A18" s="531"/>
      <c r="B18" s="552"/>
      <c r="C18" s="553" t="s">
        <v>3104</v>
      </c>
      <c r="D18" s="556"/>
      <c r="E18" s="557" t="s">
        <v>3119</v>
      </c>
      <c r="F18" s="554"/>
      <c r="G18" s="555" t="s">
        <v>3119</v>
      </c>
      <c r="H18" s="558"/>
      <c r="I18" s="557" t="s">
        <v>3104</v>
      </c>
      <c r="J18" s="554"/>
      <c r="K18" s="530"/>
      <c r="L18" s="2143"/>
      <c r="M18" s="2133"/>
      <c r="N18" s="2133"/>
      <c r="O18" s="2142"/>
      <c r="P18" s="3390"/>
      <c r="Q18" s="1572"/>
      <c r="R18" s="1573"/>
      <c r="S18" s="1574"/>
      <c r="T18" s="1573"/>
      <c r="U18" s="1574"/>
      <c r="V18" s="1573"/>
      <c r="W18" s="1574"/>
      <c r="X18" s="1567"/>
      <c r="Y18" s="3390"/>
      <c r="Z18" s="1575"/>
      <c r="AA18" s="1576">
        <v>1</v>
      </c>
      <c r="AB18" s="1576">
        <v>1</v>
      </c>
      <c r="AC18" s="1576">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390"/>
      <c r="Q19" s="1572" t="str">
        <f>B19</f>
        <v>商业繁华度</v>
      </c>
      <c r="R19" s="1573" t="s">
        <v>8</v>
      </c>
      <c r="S19" s="1574">
        <f>F19</f>
        <v>100</v>
      </c>
      <c r="T19" s="1573" t="s">
        <v>8</v>
      </c>
      <c r="U19" s="1574">
        <f>H19</f>
        <v>100</v>
      </c>
      <c r="V19" s="1573" t="s">
        <v>8</v>
      </c>
      <c r="W19" s="1574">
        <f>J19</f>
        <v>100</v>
      </c>
      <c r="X19" s="1567"/>
      <c r="Y19" s="3390"/>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3"/>
      <c r="M20" s="2133"/>
      <c r="N20" s="2133"/>
      <c r="O20" s="2142"/>
      <c r="P20" s="3390"/>
      <c r="Q20" s="1572"/>
      <c r="R20" s="1573"/>
      <c r="S20" s="1574"/>
      <c r="T20" s="1573"/>
      <c r="U20" s="1574"/>
      <c r="V20" s="1573"/>
      <c r="W20" s="1574"/>
      <c r="X20" s="1567"/>
      <c r="Y20" s="3390"/>
      <c r="Z20" s="1575"/>
      <c r="AA20" s="1576">
        <v>1</v>
      </c>
      <c r="AB20" s="1576">
        <v>1</v>
      </c>
      <c r="AC20" s="1576">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3"/>
      <c r="M22" s="2133"/>
      <c r="N22" s="2133"/>
      <c r="O22" s="2142"/>
      <c r="P22" s="3390"/>
      <c r="Q22" s="1572"/>
      <c r="R22" s="1573"/>
      <c r="S22" s="1574"/>
      <c r="T22" s="1573"/>
      <c r="U22" s="1574"/>
      <c r="V22" s="1573"/>
      <c r="W22" s="1574"/>
      <c r="X22" s="1567"/>
      <c r="Y22" s="3390"/>
      <c r="Z22" s="1575"/>
      <c r="AA22" s="1576">
        <v>1</v>
      </c>
      <c r="AB22" s="1576">
        <v>1</v>
      </c>
      <c r="AC22" s="1576">
        <v>1</v>
      </c>
    </row>
    <row r="23" spans="1:29" ht="20.25">
      <c r="A23" s="531"/>
      <c r="B23" s="559" t="s">
        <v>543</v>
      </c>
      <c r="C23" s="572" t="str">
        <f>估价对象房地状况!C18</f>
        <v>较好</v>
      </c>
      <c r="D23" s="562">
        <v>100</v>
      </c>
      <c r="E23" s="563"/>
      <c r="F23" s="564">
        <f>SUMIF(96:96,E24,97:97)-SUMIF(96:96,C24,97:97)+100</f>
        <v>98</v>
      </c>
      <c r="G23" s="561"/>
      <c r="H23" s="558">
        <f>SUMIF(96:96,G24,97:97)-SUMIF(96:96,C24,97:97)+100</f>
        <v>98</v>
      </c>
      <c r="I23" s="563"/>
      <c r="J23" s="558">
        <f>SUMIF(96:96,I24,97:97)-SUMIF(96:96,C24,97:97)+100</f>
        <v>100</v>
      </c>
      <c r="K23" s="534">
        <v>2</v>
      </c>
      <c r="L23" s="2143"/>
      <c r="M23" s="2133"/>
      <c r="N23" s="2133"/>
      <c r="O23" s="2142"/>
      <c r="P23" s="3390"/>
      <c r="Q23" s="1572" t="str">
        <f>B23</f>
        <v>交通便捷度</v>
      </c>
      <c r="R23" s="1573" t="s">
        <v>8</v>
      </c>
      <c r="S23" s="1574">
        <f>F23</f>
        <v>98</v>
      </c>
      <c r="T23" s="1573" t="s">
        <v>8</v>
      </c>
      <c r="U23" s="1574">
        <f>H23</f>
        <v>98</v>
      </c>
      <c r="V23" s="1573" t="s">
        <v>8</v>
      </c>
      <c r="W23" s="1574">
        <f>J23</f>
        <v>100</v>
      </c>
      <c r="X23" s="1567"/>
      <c r="Y23" s="3390"/>
      <c r="Z23" s="1575" t="str">
        <f>Q23</f>
        <v>交通便捷度</v>
      </c>
      <c r="AA23" s="1576">
        <f t="shared" si="3"/>
        <v>1.0204081632653061</v>
      </c>
      <c r="AB23" s="1576">
        <f t="shared" si="4"/>
        <v>1.0204081632653061</v>
      </c>
      <c r="AC23" s="1576">
        <f t="shared" si="5"/>
        <v>1</v>
      </c>
    </row>
    <row r="24" spans="1:29" ht="20.25">
      <c r="A24" s="531"/>
      <c r="B24" s="577"/>
      <c r="C24" s="553" t="s">
        <v>3104</v>
      </c>
      <c r="D24" s="556"/>
      <c r="E24" s="557" t="s">
        <v>3119</v>
      </c>
      <c r="F24" s="554"/>
      <c r="G24" s="555" t="s">
        <v>3119</v>
      </c>
      <c r="H24" s="554"/>
      <c r="I24" s="557" t="s">
        <v>3104</v>
      </c>
      <c r="J24" s="554"/>
      <c r="K24" s="530"/>
      <c r="L24" s="2143"/>
      <c r="M24" s="2133"/>
      <c r="N24" s="2133"/>
      <c r="O24" s="2142"/>
      <c r="P24" s="3390"/>
      <c r="Q24" s="1572"/>
      <c r="R24" s="1573"/>
      <c r="S24" s="1574"/>
      <c r="T24" s="1573"/>
      <c r="U24" s="1574"/>
      <c r="V24" s="1573"/>
      <c r="W24" s="1574"/>
      <c r="X24" s="1567"/>
      <c r="Y24" s="3390"/>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3"/>
      <c r="M25" s="2133"/>
      <c r="N25" s="2133"/>
      <c r="O25" s="2142"/>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4"/>
      <c r="B26" s="1006"/>
      <c r="C26" s="553" t="s">
        <v>3104</v>
      </c>
      <c r="D26" s="556"/>
      <c r="E26" s="557" t="s">
        <v>3104</v>
      </c>
      <c r="F26" s="554"/>
      <c r="G26" s="555" t="s">
        <v>3104</v>
      </c>
      <c r="H26" s="554"/>
      <c r="I26" s="557" t="s">
        <v>3104</v>
      </c>
      <c r="J26" s="554"/>
      <c r="K26" s="530"/>
      <c r="L26" s="2143"/>
      <c r="M26" s="2133"/>
      <c r="N26" s="2133"/>
      <c r="O26" s="2142"/>
      <c r="P26" s="3390"/>
      <c r="Q26" s="1572"/>
      <c r="R26" s="1573"/>
      <c r="S26" s="1574"/>
      <c r="T26" s="1573"/>
      <c r="U26" s="1574"/>
      <c r="V26" s="1573"/>
      <c r="W26" s="1574"/>
      <c r="X26" s="1567"/>
      <c r="Y26" s="3390"/>
      <c r="Z26" s="1575"/>
      <c r="AA26" s="1576"/>
      <c r="AB26" s="1576"/>
      <c r="AC26" s="1576"/>
    </row>
    <row r="27" spans="1:29" ht="27">
      <c r="A27" s="514"/>
      <c r="B27" s="577" t="s">
        <v>545</v>
      </c>
      <c r="C27" s="560" t="str">
        <f>估价对象房地状况!C20</f>
        <v>较好</v>
      </c>
      <c r="D27" s="562">
        <v>100</v>
      </c>
      <c r="E27" s="563"/>
      <c r="F27" s="558">
        <f>SUMIF(100:100,E28,101:101)-SUMIF(100:100,C28,101:101)+100</f>
        <v>98</v>
      </c>
      <c r="G27" s="561"/>
      <c r="H27" s="558">
        <f>SUMIF(100:100,G28,101:101)-SUMIF(100:100,C28,101:101)+100</f>
        <v>98</v>
      </c>
      <c r="I27" s="563"/>
      <c r="J27" s="558">
        <f>SUMIF(100:100,I28,101:101)-SUMIF(100:100,C28,101:101)+100</f>
        <v>100</v>
      </c>
      <c r="K27" s="534">
        <v>2</v>
      </c>
      <c r="L27" s="2143"/>
      <c r="M27" s="2133"/>
      <c r="N27" s="2133"/>
      <c r="O27" s="2142"/>
      <c r="P27" s="3390"/>
      <c r="Q27" s="1572" t="str">
        <f t="shared" si="8"/>
        <v>自然及人文环境状况</v>
      </c>
      <c r="R27" s="1573" t="s">
        <v>8</v>
      </c>
      <c r="S27" s="1574">
        <f>F27</f>
        <v>98</v>
      </c>
      <c r="T27" s="1573" t="s">
        <v>8</v>
      </c>
      <c r="U27" s="1574">
        <f>H27</f>
        <v>98</v>
      </c>
      <c r="V27" s="1573" t="s">
        <v>8</v>
      </c>
      <c r="W27" s="1574">
        <f>J27</f>
        <v>100</v>
      </c>
      <c r="X27" s="1567"/>
      <c r="Y27" s="3390"/>
      <c r="Z27" s="1575" t="str">
        <f>Q27</f>
        <v>自然及人文环境状况</v>
      </c>
      <c r="AA27" s="1576">
        <f t="shared" si="3"/>
        <v>1.0204081632653061</v>
      </c>
      <c r="AB27" s="1576">
        <f t="shared" si="4"/>
        <v>1.0204081632653061</v>
      </c>
      <c r="AC27" s="1576">
        <f t="shared" si="5"/>
        <v>1</v>
      </c>
    </row>
    <row r="28" spans="1:29" ht="20.25">
      <c r="A28" s="514"/>
      <c r="B28" s="565"/>
      <c r="C28" s="553" t="s">
        <v>3104</v>
      </c>
      <c r="D28" s="556"/>
      <c r="E28" s="575" t="s">
        <v>3119</v>
      </c>
      <c r="F28" s="554"/>
      <c r="G28" s="553" t="s">
        <v>3119</v>
      </c>
      <c r="H28" s="554"/>
      <c r="I28" s="575" t="s">
        <v>3104</v>
      </c>
      <c r="J28" s="554"/>
      <c r="K28" s="530"/>
      <c r="L28" s="2143"/>
      <c r="M28" s="2133"/>
      <c r="N28" s="2133"/>
      <c r="O28" s="2142"/>
      <c r="P28" s="3390"/>
      <c r="Q28" s="1572"/>
      <c r="R28" s="1573"/>
      <c r="S28" s="1574"/>
      <c r="T28" s="1573"/>
      <c r="U28" s="1574"/>
      <c r="V28" s="1573"/>
      <c r="W28" s="1574"/>
      <c r="X28" s="1567"/>
      <c r="Y28" s="3390"/>
      <c r="Z28" s="1575"/>
      <c r="AA28" s="1576">
        <v>1</v>
      </c>
      <c r="AB28" s="1576">
        <v>1</v>
      </c>
      <c r="AC28" s="1576">
        <v>1</v>
      </c>
    </row>
    <row r="29" spans="1:29" s="1219" customFormat="1" ht="20.25">
      <c r="A29" s="576"/>
      <c r="B29" s="2592" t="s">
        <v>2551</v>
      </c>
      <c r="C29" s="572" t="str">
        <f>估价对象房地状况!C21</f>
        <v>较好</v>
      </c>
      <c r="D29" s="562">
        <v>100</v>
      </c>
      <c r="E29" s="563"/>
      <c r="F29" s="558">
        <f>SUMIF(102:102,E30,103:103)-SUMIF(102:102,C30,103:103)+100</f>
        <v>98</v>
      </c>
      <c r="G29" s="561"/>
      <c r="H29" s="558">
        <f>SUMIF(102:102,G30,103:103)-SUMIF(102:102,C30,103:103)+100</f>
        <v>98</v>
      </c>
      <c r="I29" s="563"/>
      <c r="J29" s="558">
        <f>SUMIF(102:102,I30,103:103)-SUMIF(102:102,C30,103:103)+100</f>
        <v>100</v>
      </c>
      <c r="K29" s="534">
        <v>2</v>
      </c>
      <c r="L29" s="2136"/>
      <c r="M29" s="2133"/>
      <c r="N29" s="2133"/>
      <c r="O29" s="2138"/>
      <c r="P29" s="3390"/>
      <c r="Q29" s="1150" t="str">
        <f t="shared" si="8"/>
        <v>公共配套设施</v>
      </c>
      <c r="R29" s="1568" t="s">
        <v>8</v>
      </c>
      <c r="S29" s="1569">
        <f>F29</f>
        <v>98</v>
      </c>
      <c r="T29" s="1568" t="s">
        <v>8</v>
      </c>
      <c r="U29" s="1569">
        <f>H29</f>
        <v>98</v>
      </c>
      <c r="V29" s="1568" t="s">
        <v>8</v>
      </c>
      <c r="W29" s="1569">
        <f>J29</f>
        <v>100</v>
      </c>
      <c r="X29" s="1570"/>
      <c r="Y29" s="3390"/>
      <c r="Z29" s="1149" t="str">
        <f>Q29</f>
        <v>公共配套设施</v>
      </c>
      <c r="AA29" s="1576">
        <f>D29/F29</f>
        <v>1.0204081632653061</v>
      </c>
      <c r="AB29" s="1576">
        <f>D29/H29</f>
        <v>1.0204081632653061</v>
      </c>
      <c r="AC29" s="1576">
        <f>D29/J29</f>
        <v>1</v>
      </c>
    </row>
    <row r="30" spans="1:29" s="1219" customFormat="1" ht="20.25">
      <c r="A30" s="576"/>
      <c r="B30" s="565"/>
      <c r="C30" s="578" t="s">
        <v>3104</v>
      </c>
      <c r="D30" s="556"/>
      <c r="E30" s="575" t="s">
        <v>3119</v>
      </c>
      <c r="F30" s="554"/>
      <c r="G30" s="553" t="s">
        <v>3119</v>
      </c>
      <c r="H30" s="554"/>
      <c r="I30" s="575" t="s">
        <v>3104</v>
      </c>
      <c r="J30" s="554"/>
      <c r="K30" s="530"/>
      <c r="L30" s="2136"/>
      <c r="M30" s="2133"/>
      <c r="N30" s="2133"/>
      <c r="O30" s="2138"/>
      <c r="P30" s="3390"/>
      <c r="Q30" s="1150"/>
      <c r="R30" s="1568"/>
      <c r="S30" s="1569"/>
      <c r="T30" s="1568"/>
      <c r="U30" s="1569"/>
      <c r="V30" s="1568"/>
      <c r="W30" s="1569"/>
      <c r="X30" s="1570"/>
      <c r="Y30" s="3390"/>
      <c r="Z30" s="1149"/>
      <c r="AA30" s="1576">
        <v>1</v>
      </c>
      <c r="AB30" s="1576">
        <v>1</v>
      </c>
      <c r="AC30" s="1576">
        <v>1</v>
      </c>
    </row>
    <row r="31" spans="1:29" s="1219" customFormat="1" ht="20.25">
      <c r="A31" s="576"/>
      <c r="B31" s="2592" t="s">
        <v>2552</v>
      </c>
      <c r="C31" s="572" t="str">
        <f>估价对象房地状况!C22</f>
        <v>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6"/>
      <c r="M31" s="2133"/>
      <c r="N31" s="2133"/>
      <c r="O31" s="2138"/>
      <c r="P31" s="3390"/>
      <c r="Q31" s="2579" t="str">
        <f t="shared" ref="Q31" si="9">B31</f>
        <v>基础设施水平</v>
      </c>
      <c r="R31" s="1568" t="s">
        <v>8</v>
      </c>
      <c r="S31" s="1569">
        <f>F31</f>
        <v>100</v>
      </c>
      <c r="T31" s="1568" t="s">
        <v>8</v>
      </c>
      <c r="U31" s="1569">
        <f>H31</f>
        <v>100</v>
      </c>
      <c r="V31" s="1568" t="s">
        <v>8</v>
      </c>
      <c r="W31" s="1569">
        <f>J31</f>
        <v>100</v>
      </c>
      <c r="X31" s="1570"/>
      <c r="Y31" s="3390"/>
      <c r="Z31" s="2576" t="str">
        <f>Q31</f>
        <v>基础设施水平</v>
      </c>
      <c r="AA31" s="1576">
        <f>D31/F31</f>
        <v>1</v>
      </c>
      <c r="AB31" s="1576">
        <f>D31/H31</f>
        <v>1</v>
      </c>
      <c r="AC31" s="1576">
        <f>D31/J31</f>
        <v>1</v>
      </c>
    </row>
    <row r="32" spans="1:29" s="1219" customFormat="1" ht="20.25">
      <c r="A32" s="576"/>
      <c r="B32" s="565"/>
      <c r="C32" s="578" t="s">
        <v>3098</v>
      </c>
      <c r="D32" s="556"/>
      <c r="E32" s="2593" t="s">
        <v>3098</v>
      </c>
      <c r="F32" s="554"/>
      <c r="G32" s="578" t="s">
        <v>3098</v>
      </c>
      <c r="H32" s="554"/>
      <c r="I32" s="578" t="s">
        <v>3098</v>
      </c>
      <c r="J32" s="554"/>
      <c r="K32" s="530"/>
      <c r="L32" s="2136"/>
      <c r="M32" s="2133"/>
      <c r="N32" s="2133"/>
      <c r="O32" s="2138"/>
      <c r="P32" s="3390"/>
      <c r="Q32" s="2579"/>
      <c r="R32" s="1568"/>
      <c r="S32" s="1569"/>
      <c r="T32" s="1568"/>
      <c r="U32" s="1569"/>
      <c r="V32" s="1568"/>
      <c r="W32" s="1569"/>
      <c r="X32" s="1570"/>
      <c r="Y32" s="3390"/>
      <c r="Z32" s="2576"/>
      <c r="AA32" s="1576">
        <v>1</v>
      </c>
      <c r="AB32" s="1576">
        <v>1</v>
      </c>
      <c r="AC32" s="1576">
        <v>1</v>
      </c>
    </row>
    <row r="33" spans="1:29" ht="20.25">
      <c r="A33" s="531"/>
      <c r="B33" s="565" t="s">
        <v>547</v>
      </c>
      <c r="C33" s="579" t="s">
        <v>3121</v>
      </c>
      <c r="D33" s="574">
        <v>100</v>
      </c>
      <c r="E33" s="582" t="s">
        <v>3121</v>
      </c>
      <c r="F33" s="539">
        <f>SUMIF(106:106,E33,107:107)-SUMIF(106:106,C33,107:107)+100</f>
        <v>100</v>
      </c>
      <c r="G33" s="579" t="s">
        <v>3121</v>
      </c>
      <c r="H33" s="539">
        <f>SUMIF(106:106,G33,107:107)-SUMIF(106:106,C33,107:107)+100</f>
        <v>100</v>
      </c>
      <c r="I33" s="579" t="s">
        <v>3121</v>
      </c>
      <c r="J33" s="539">
        <f>SUMIF(106:106,I33,107:107)-SUMIF(106:106,C33,107:107)+100</f>
        <v>100</v>
      </c>
      <c r="K33" s="534">
        <v>2</v>
      </c>
      <c r="L33" s="2143"/>
      <c r="M33" s="2133"/>
      <c r="N33" s="2133"/>
      <c r="O33" s="2142"/>
      <c r="P33" s="339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0"/>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101</v>
      </c>
      <c r="G34" s="561"/>
      <c r="H34" s="558">
        <f>SUMIF(108:108,G35,109:109)-SUMIF(108:108,C35,109:109)+100</f>
        <v>101</v>
      </c>
      <c r="I34" s="563"/>
      <c r="J34" s="558">
        <f>SUMIF(108:108,I35,109:109)-SUMIF(108:108,C35,109:109)+100</f>
        <v>100</v>
      </c>
      <c r="K34" s="534">
        <v>1</v>
      </c>
      <c r="L34" s="2143"/>
      <c r="M34" s="2133"/>
      <c r="N34" s="2133"/>
      <c r="O34" s="2142"/>
      <c r="P34" s="3390"/>
      <c r="Q34" s="1572" t="str">
        <f t="shared" si="8"/>
        <v>毗邻道路的类型与等级</v>
      </c>
      <c r="R34" s="1573" t="s">
        <v>8</v>
      </c>
      <c r="S34" s="1574">
        <f t="shared" si="10"/>
        <v>101</v>
      </c>
      <c r="T34" s="1573" t="s">
        <v>8</v>
      </c>
      <c r="U34" s="1574">
        <f t="shared" si="11"/>
        <v>101</v>
      </c>
      <c r="V34" s="1573" t="s">
        <v>8</v>
      </c>
      <c r="W34" s="1574">
        <f t="shared" si="12"/>
        <v>100</v>
      </c>
      <c r="X34" s="1567"/>
      <c r="Y34" s="3390"/>
      <c r="Z34" s="1575" t="str">
        <f t="shared" si="13"/>
        <v>毗邻道路的类型与等级</v>
      </c>
      <c r="AA34" s="1576">
        <f t="shared" si="3"/>
        <v>0.99009900990099009</v>
      </c>
      <c r="AB34" s="1576">
        <f t="shared" si="4"/>
        <v>0.99009900990099009</v>
      </c>
      <c r="AC34" s="1576">
        <f t="shared" si="5"/>
        <v>1</v>
      </c>
    </row>
    <row r="35" spans="1:29" ht="21" thickBot="1">
      <c r="A35" s="531"/>
      <c r="B35" s="565"/>
      <c r="C35" s="553" t="s">
        <v>3115</v>
      </c>
      <c r="D35" s="556"/>
      <c r="E35" s="575" t="s">
        <v>3125</v>
      </c>
      <c r="F35" s="554"/>
      <c r="G35" s="553" t="s">
        <v>3125</v>
      </c>
      <c r="H35" s="554"/>
      <c r="I35" s="575" t="s">
        <v>3115</v>
      </c>
      <c r="J35" s="554"/>
      <c r="K35" s="580"/>
      <c r="L35" s="2143"/>
      <c r="M35" s="2133"/>
      <c r="N35" s="2133"/>
      <c r="O35" s="2142"/>
      <c r="P35" s="3390"/>
      <c r="Q35" s="1572"/>
      <c r="R35" s="1573"/>
      <c r="S35" s="1574"/>
      <c r="T35" s="1573"/>
      <c r="U35" s="1574"/>
      <c r="V35" s="1573"/>
      <c r="W35" s="1574"/>
      <c r="X35" s="1567"/>
      <c r="Y35" s="3390"/>
      <c r="Z35" s="1575"/>
      <c r="AA35" s="1576">
        <v>1</v>
      </c>
      <c r="AB35" s="1576">
        <v>1</v>
      </c>
      <c r="AC35" s="1576">
        <v>1</v>
      </c>
    </row>
    <row r="36" spans="1:29" ht="19.5" hidden="1" customHeigh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390"/>
      <c r="Q37" s="1572">
        <f t="shared" si="8"/>
        <v>111</v>
      </c>
      <c r="R37" s="1573" t="s">
        <v>8</v>
      </c>
      <c r="S37" s="1574">
        <f t="shared" si="10"/>
        <v>100</v>
      </c>
      <c r="T37" s="1573" t="s">
        <v>8</v>
      </c>
      <c r="U37" s="1574">
        <f t="shared" si="11"/>
        <v>100</v>
      </c>
      <c r="V37" s="1573" t="s">
        <v>8</v>
      </c>
      <c r="W37" s="1574">
        <f t="shared" si="12"/>
        <v>100</v>
      </c>
      <c r="X37" s="1567"/>
      <c r="Y37" s="3390"/>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391" t="s">
        <v>550</v>
      </c>
      <c r="Q38" s="1572">
        <f t="shared" si="8"/>
        <v>111</v>
      </c>
      <c r="R38" s="1573" t="s">
        <v>8</v>
      </c>
      <c r="S38" s="1574">
        <f t="shared" si="10"/>
        <v>100</v>
      </c>
      <c r="T38" s="1573" t="s">
        <v>8</v>
      </c>
      <c r="U38" s="1574">
        <f t="shared" si="11"/>
        <v>100</v>
      </c>
      <c r="V38" s="1573" t="s">
        <v>8</v>
      </c>
      <c r="W38" s="1574">
        <f t="shared" si="12"/>
        <v>100</v>
      </c>
      <c r="X38" s="1567"/>
      <c r="Y38" s="3392"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392"/>
      <c r="Q39" s="1572">
        <f t="shared" si="8"/>
        <v>111</v>
      </c>
      <c r="R39" s="1577" t="s">
        <v>8</v>
      </c>
      <c r="S39" s="1578">
        <f t="shared" si="10"/>
        <v>100</v>
      </c>
      <c r="T39" s="1577" t="s">
        <v>8</v>
      </c>
      <c r="U39" s="1578">
        <f t="shared" si="11"/>
        <v>100</v>
      </c>
      <c r="V39" s="1577" t="s">
        <v>8</v>
      </c>
      <c r="W39" s="1578">
        <f t="shared" si="12"/>
        <v>100</v>
      </c>
      <c r="X39" s="1579"/>
      <c r="Y39" s="3392"/>
      <c r="Z39" s="1580">
        <f t="shared" si="13"/>
        <v>111</v>
      </c>
      <c r="AA39" s="1576">
        <f t="shared" si="3"/>
        <v>1</v>
      </c>
      <c r="AB39" s="1576">
        <f t="shared" si="4"/>
        <v>1</v>
      </c>
      <c r="AC39" s="1576">
        <f t="shared" si="5"/>
        <v>1</v>
      </c>
    </row>
    <row r="40" spans="1:29" ht="20.25">
      <c r="A40" s="2908" t="s">
        <v>2758</v>
      </c>
      <c r="B40" s="594" t="s">
        <v>552</v>
      </c>
      <c r="C40" s="595">
        <f>'数据-基础表'!A3</f>
        <v>2708.59</v>
      </c>
      <c r="D40" s="596">
        <v>100</v>
      </c>
      <c r="E40" s="595">
        <f>土地案例!D4</f>
        <v>85335.72</v>
      </c>
      <c r="F40" s="596">
        <f>LOOKUP(E40,119:119,120:120)-LOOKUP(C40,119:119,120:120)+100</f>
        <v>104</v>
      </c>
      <c r="G40" s="595">
        <f>土地案例!D5</f>
        <v>133319.1</v>
      </c>
      <c r="H40" s="596">
        <f>LOOKUP(G40,119:119,120:120)-LOOKUP(C40,119:119,120:120)+100</f>
        <v>106</v>
      </c>
      <c r="I40" s="597">
        <f>土地案例!D3</f>
        <v>36905.599999999999</v>
      </c>
      <c r="J40" s="596">
        <f>LOOKUP(I40,119:119,120:120)-LOOKUP(C40,119:119,120:120)+100</f>
        <v>102</v>
      </c>
      <c r="K40" s="580"/>
      <c r="L40" s="2143"/>
      <c r="M40" s="2133"/>
      <c r="N40" s="2133"/>
      <c r="O40" s="2142"/>
      <c r="P40" s="3392"/>
      <c r="Q40" s="1572" t="str">
        <f>B40</f>
        <v>宗地面积</v>
      </c>
      <c r="R40" s="1573" t="s">
        <v>8</v>
      </c>
      <c r="S40" s="1574">
        <f t="shared" si="10"/>
        <v>104</v>
      </c>
      <c r="T40" s="1573" t="s">
        <v>8</v>
      </c>
      <c r="U40" s="1574">
        <f t="shared" si="11"/>
        <v>106</v>
      </c>
      <c r="V40" s="1573" t="s">
        <v>8</v>
      </c>
      <c r="W40" s="1574">
        <f t="shared" si="12"/>
        <v>102</v>
      </c>
      <c r="X40" s="1567"/>
      <c r="Y40" s="3392"/>
      <c r="Z40" s="1575" t="str">
        <f t="shared" si="13"/>
        <v>宗地面积</v>
      </c>
      <c r="AA40" s="1576">
        <f t="shared" si="3"/>
        <v>0.96153846153846156</v>
      </c>
      <c r="AB40" s="1576">
        <f t="shared" si="4"/>
        <v>0.94339622641509435</v>
      </c>
      <c r="AC40" s="1576">
        <f t="shared" si="5"/>
        <v>0.98039215686274506</v>
      </c>
    </row>
    <row r="41" spans="1:29" ht="20.25">
      <c r="A41" s="593"/>
      <c r="B41" s="526" t="s">
        <v>553</v>
      </c>
      <c r="C41" s="598" t="s">
        <v>3130</v>
      </c>
      <c r="D41" s="539">
        <v>100</v>
      </c>
      <c r="E41" s="598" t="s">
        <v>3128</v>
      </c>
      <c r="F41" s="539">
        <f>SUMIF(121:121,E41,122:122)-SUMIF(121:121,C41,122:122)+100</f>
        <v>103</v>
      </c>
      <c r="G41" s="598" t="s">
        <v>3134</v>
      </c>
      <c r="H41" s="539">
        <f>SUMIF(121:121,G41,122:122)-SUMIF(121:121,C41,122:122)+100</f>
        <v>94</v>
      </c>
      <c r="I41" s="598" t="s">
        <v>3132</v>
      </c>
      <c r="J41" s="539">
        <f>SUMIF(121:121,I41,122:122)-SUMIF(121:121,C41,122:122)+100</f>
        <v>97</v>
      </c>
      <c r="K41" s="3197">
        <v>3</v>
      </c>
      <c r="L41" s="2143"/>
      <c r="M41" s="2133"/>
      <c r="N41" s="2133"/>
      <c r="O41" s="2142"/>
      <c r="P41" s="3392"/>
      <c r="Q41" s="1572" t="str">
        <f t="shared" ref="Q41:Q47" si="14">B41</f>
        <v>宗地形状</v>
      </c>
      <c r="R41" s="1573" t="s">
        <v>8</v>
      </c>
      <c r="S41" s="1574">
        <f t="shared" si="10"/>
        <v>103</v>
      </c>
      <c r="T41" s="1573" t="s">
        <v>8</v>
      </c>
      <c r="U41" s="1574">
        <f t="shared" si="11"/>
        <v>94</v>
      </c>
      <c r="V41" s="1573" t="s">
        <v>8</v>
      </c>
      <c r="W41" s="1574">
        <f t="shared" si="12"/>
        <v>97</v>
      </c>
      <c r="X41" s="1567"/>
      <c r="Y41" s="3392"/>
      <c r="Z41" s="1575" t="str">
        <f t="shared" si="13"/>
        <v>宗地形状</v>
      </c>
      <c r="AA41" s="1576">
        <f t="shared" si="3"/>
        <v>0.970873786407767</v>
      </c>
      <c r="AB41" s="1576">
        <f t="shared" si="4"/>
        <v>1.0638297872340425</v>
      </c>
      <c r="AC41" s="1576">
        <f t="shared" si="5"/>
        <v>1.0309278350515463</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3197"/>
      <c r="L42" s="2143"/>
      <c r="M42" s="2133"/>
      <c r="N42" s="2133"/>
      <c r="O42" s="2142"/>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19" customFormat="1" ht="20.25">
      <c r="A43" s="599"/>
      <c r="B43" s="1896" t="s">
        <v>2427</v>
      </c>
      <c r="C43" s="600" t="s">
        <v>3098</v>
      </c>
      <c r="D43" s="254">
        <v>100</v>
      </c>
      <c r="E43" s="600" t="s">
        <v>3102</v>
      </c>
      <c r="F43" s="539">
        <f>SUMIF(125:125,E43,126:126)-SUMIF(125:125,C43,126:126)+100</f>
        <v>97</v>
      </c>
      <c r="G43" s="600" t="s">
        <v>3102</v>
      </c>
      <c r="H43" s="539">
        <f>SUMIF(125:125,G43,126:126)-SUMIF(125:125,C43,126:126)+100</f>
        <v>97</v>
      </c>
      <c r="I43" s="600" t="s">
        <v>3102</v>
      </c>
      <c r="J43" s="539">
        <f>SUMIF(125:125,I43,126:126)-SUMIF(125:125,C43,126:126)+100</f>
        <v>97</v>
      </c>
      <c r="K43" s="3197">
        <v>1</v>
      </c>
      <c r="L43" s="2136"/>
      <c r="M43" s="2133"/>
      <c r="N43" s="2133"/>
      <c r="O43" s="2138"/>
      <c r="P43" s="3392"/>
      <c r="Q43" s="1572" t="str">
        <f t="shared" si="14"/>
        <v>宗地开发程度</v>
      </c>
      <c r="R43" s="1568" t="s">
        <v>8</v>
      </c>
      <c r="S43" s="1569">
        <f t="shared" si="10"/>
        <v>97</v>
      </c>
      <c r="T43" s="1568" t="s">
        <v>8</v>
      </c>
      <c r="U43" s="1569">
        <f t="shared" si="11"/>
        <v>97</v>
      </c>
      <c r="V43" s="1568" t="s">
        <v>8</v>
      </c>
      <c r="W43" s="1569">
        <f t="shared" si="12"/>
        <v>97</v>
      </c>
      <c r="X43" s="1570"/>
      <c r="Y43" s="3392"/>
      <c r="Z43" s="1149" t="str">
        <f t="shared" si="13"/>
        <v>宗地开发程度</v>
      </c>
      <c r="AA43" s="1571">
        <f t="shared" si="3"/>
        <v>1.0309278350515463</v>
      </c>
      <c r="AB43" s="1571">
        <f t="shared" si="4"/>
        <v>1.0309278350515463</v>
      </c>
      <c r="AC43" s="1571">
        <f t="shared" si="5"/>
        <v>1.0309278350515463</v>
      </c>
    </row>
    <row r="44" spans="1:29" ht="14.25" customHeight="1"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c r="L44" s="2143"/>
      <c r="M44" s="2133"/>
      <c r="N44" s="2133"/>
      <c r="O44" s="2142"/>
      <c r="P44" s="3392" t="s">
        <v>550</v>
      </c>
      <c r="Q44" s="1572" t="str">
        <f t="shared" si="14"/>
        <v>工程地质条件</v>
      </c>
      <c r="R44" s="1573" t="s">
        <v>8</v>
      </c>
      <c r="S44" s="1574">
        <f t="shared" si="10"/>
        <v>100</v>
      </c>
      <c r="T44" s="1573" t="s">
        <v>8</v>
      </c>
      <c r="U44" s="1574">
        <f t="shared" si="11"/>
        <v>100</v>
      </c>
      <c r="V44" s="1573" t="s">
        <v>8</v>
      </c>
      <c r="W44" s="1574">
        <f t="shared" si="12"/>
        <v>100</v>
      </c>
      <c r="X44" s="1567"/>
      <c r="Y44" s="3392"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392"/>
      <c r="Q45" s="1572">
        <f t="shared" si="14"/>
        <v>111</v>
      </c>
      <c r="R45" s="1573" t="s">
        <v>8</v>
      </c>
      <c r="S45" s="1574">
        <f t="shared" si="10"/>
        <v>100</v>
      </c>
      <c r="T45" s="1573" t="s">
        <v>8</v>
      </c>
      <c r="U45" s="1574">
        <f t="shared" si="11"/>
        <v>100</v>
      </c>
      <c r="V45" s="1573" t="s">
        <v>8</v>
      </c>
      <c r="W45" s="1574">
        <f t="shared" si="12"/>
        <v>100</v>
      </c>
      <c r="X45" s="1567"/>
      <c r="Y45" s="3392"/>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392"/>
      <c r="Q46" s="1572">
        <f t="shared" si="14"/>
        <v>111</v>
      </c>
      <c r="R46" s="1573" t="s">
        <v>8</v>
      </c>
      <c r="S46" s="1574">
        <f t="shared" si="10"/>
        <v>100</v>
      </c>
      <c r="T46" s="1573" t="s">
        <v>8</v>
      </c>
      <c r="U46" s="1574">
        <f t="shared" si="11"/>
        <v>100</v>
      </c>
      <c r="V46" s="1573" t="s">
        <v>8</v>
      </c>
      <c r="W46" s="1574">
        <f t="shared" si="12"/>
        <v>100</v>
      </c>
      <c r="X46" s="1567"/>
      <c r="Y46" s="3392"/>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392"/>
      <c r="Q47" s="1572">
        <f t="shared" si="14"/>
        <v>111</v>
      </c>
      <c r="R47" s="1577" t="s">
        <v>8</v>
      </c>
      <c r="S47" s="1578">
        <f t="shared" si="10"/>
        <v>100</v>
      </c>
      <c r="T47" s="1577" t="s">
        <v>8</v>
      </c>
      <c r="U47" s="1578">
        <f t="shared" si="11"/>
        <v>100</v>
      </c>
      <c r="V47" s="1577" t="s">
        <v>8</v>
      </c>
      <c r="W47" s="1578">
        <f t="shared" si="12"/>
        <v>100</v>
      </c>
      <c r="X47" s="1579"/>
      <c r="Y47" s="3392"/>
      <c r="Z47" s="1580">
        <f t="shared" si="13"/>
        <v>111</v>
      </c>
      <c r="AA47" s="1576">
        <f t="shared" si="3"/>
        <v>1</v>
      </c>
      <c r="AB47" s="1576">
        <f t="shared" si="4"/>
        <v>1</v>
      </c>
      <c r="AC47" s="1576">
        <f t="shared" si="5"/>
        <v>1</v>
      </c>
    </row>
    <row r="48" spans="1:29" ht="20.25">
      <c r="A48" s="606" t="s">
        <v>556</v>
      </c>
      <c r="B48" s="607" t="s">
        <v>3094</v>
      </c>
      <c r="C48" s="608" t="s">
        <v>1</v>
      </c>
      <c r="D48" s="609"/>
      <c r="E48" s="610">
        <f>土地案例!K4</f>
        <v>12570</v>
      </c>
      <c r="F48" s="611"/>
      <c r="G48" s="612">
        <f>土地案例!K5</f>
        <v>12489</v>
      </c>
      <c r="H48" s="613"/>
      <c r="I48" s="610">
        <f>土地案例!K3</f>
        <v>12672</v>
      </c>
      <c r="J48" s="613"/>
      <c r="K48" s="1339"/>
      <c r="L48" s="2145"/>
      <c r="M48" s="2133"/>
      <c r="N48" s="2133"/>
      <c r="O48" s="2146"/>
      <c r="P48" s="3387" t="str">
        <f>A48</f>
        <v>成交单价</v>
      </c>
      <c r="Q48" s="3387"/>
      <c r="R48" s="3401">
        <f>E48</f>
        <v>12570</v>
      </c>
      <c r="S48" s="3401"/>
      <c r="T48" s="3401">
        <f>G48</f>
        <v>12489</v>
      </c>
      <c r="U48" s="3401"/>
      <c r="V48" s="3401">
        <f>I48</f>
        <v>12672</v>
      </c>
      <c r="W48" s="3401"/>
      <c r="X48" s="1559"/>
      <c r="Y48" s="1581"/>
      <c r="Z48" s="1559"/>
      <c r="AA48" s="1559"/>
      <c r="AB48" s="1559"/>
      <c r="AC48" s="1559"/>
    </row>
    <row r="49" spans="1:29" ht="21" thickBot="1">
      <c r="A49" s="614" t="s">
        <v>2696</v>
      </c>
      <c r="B49" s="615"/>
      <c r="C49" s="616">
        <f>R50</f>
        <v>12488</v>
      </c>
      <c r="D49" s="617"/>
      <c r="E49" s="616">
        <f>R49</f>
        <v>12185</v>
      </c>
      <c r="F49" s="618"/>
      <c r="G49" s="619">
        <f>T49</f>
        <v>13015</v>
      </c>
      <c r="H49" s="617"/>
      <c r="I49" s="616">
        <f>V49</f>
        <v>12263</v>
      </c>
      <c r="J49" s="617"/>
      <c r="K49" s="1340"/>
      <c r="L49" s="2145"/>
      <c r="M49" s="2133"/>
      <c r="N49" s="2133"/>
      <c r="O49" s="2146"/>
      <c r="P49" s="3387" t="str">
        <f>A49</f>
        <v>比较价格（元/平方米）</v>
      </c>
      <c r="Q49" s="3387"/>
      <c r="R49" s="3411">
        <f>ROUND(PRODUCT(R48,AA9:AA47),0)</f>
        <v>12185</v>
      </c>
      <c r="S49" s="3411"/>
      <c r="T49" s="3411">
        <f>ROUND(PRODUCT(T48,AB9:AB47),0)</f>
        <v>13015</v>
      </c>
      <c r="U49" s="3411"/>
      <c r="V49" s="3411">
        <f>ROUND(PRODUCT(V48,AC9:AC47),0)</f>
        <v>12263</v>
      </c>
      <c r="W49" s="3411"/>
      <c r="X49" s="1559"/>
      <c r="Y49" s="1559"/>
      <c r="Z49" s="1559"/>
      <c r="AA49" s="1559"/>
      <c r="AB49" s="1559"/>
      <c r="AC49" s="1559"/>
    </row>
    <row r="50" spans="1:29" ht="21" thickBot="1">
      <c r="A50" s="620" t="s">
        <v>3141</v>
      </c>
      <c r="B50" s="621"/>
      <c r="C50" s="622">
        <f>R50</f>
        <v>12488</v>
      </c>
      <c r="D50" s="622"/>
      <c r="E50" s="622"/>
      <c r="F50" s="622"/>
      <c r="G50" s="622"/>
      <c r="H50" s="622"/>
      <c r="I50" s="622"/>
      <c r="J50" s="622"/>
      <c r="K50" s="1341"/>
      <c r="L50" s="2145"/>
      <c r="M50" s="2133"/>
      <c r="N50" s="2133"/>
      <c r="O50" s="2146"/>
      <c r="P50" s="3408" t="str">
        <f>A50</f>
        <v>估价对象的比较价格（楼面单价，元/平方米）</v>
      </c>
      <c r="Q50" s="3409"/>
      <c r="R50" s="3410">
        <f>ROUND(AVERAGE(R49:V49),0)</f>
        <v>12488</v>
      </c>
      <c r="S50" s="3410"/>
      <c r="T50" s="3410"/>
      <c r="U50" s="3410"/>
      <c r="V50" s="3410"/>
      <c r="W50" s="341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f>IF(E48&lt;E49,E49/E48-1,E48/E49-1)</f>
        <v>3.1596224866639266E-2</v>
      </c>
      <c r="F53" s="626" t="str">
        <f>IF(OR(E53&gt;=0.3,E53&lt;=-0.3),"超过30%","")</f>
        <v/>
      </c>
      <c r="G53" s="625">
        <f>IF(G48&lt;G49,G49/G48-1,G48/G49-1)</f>
        <v>4.2117063015453704E-2</v>
      </c>
      <c r="H53" s="626" t="str">
        <f>IF(OR(G53&gt;=0.3,G53&lt;=-0.3),"超过30%","")</f>
        <v/>
      </c>
      <c r="I53" s="625">
        <f>IF(I48&lt;I49,I49/I48-1,I48/I49-1)</f>
        <v>3.3352360760009692E-2</v>
      </c>
      <c r="J53" s="626"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f>IF(E49&lt;G49,G49/E49-1,E49/G49-1)</f>
        <v>6.8116536725482124E-2</v>
      </c>
      <c r="F54" s="626" t="str">
        <f>IF(OR(E54&gt;=0.2,E54&lt;=-0.2),"超过20%","")</f>
        <v/>
      </c>
      <c r="G54" s="625">
        <f>IF(G49&lt;I49,I49/G49-1,G49/I49-1)</f>
        <v>6.1322677974394502E-2</v>
      </c>
      <c r="H54" s="626" t="str">
        <f>IF(OR(G54&gt;=0.2,G54&lt;=-0.2),"超过20%","")</f>
        <v/>
      </c>
      <c r="I54" s="625">
        <f>IF(I49&lt;E49,E49/I49-1,I49/E49-1)</f>
        <v>6.4013130898645798E-3</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f>IF(E48&lt;G48,G48/E48-1,E48/G48-1)</f>
        <v>6.485707422531739E-3</v>
      </c>
      <c r="F55" s="626" t="str">
        <f>IF(OR(E55&gt;=0.3,E55&lt;=-0.3),"超过30%","")</f>
        <v/>
      </c>
      <c r="G55" s="625">
        <f>IF(G48&lt;I48,I48/G48-1,G48/I48-1)</f>
        <v>1.4652894547201534E-2</v>
      </c>
      <c r="H55" s="626" t="str">
        <f>IF(OR(G55&gt;=0.3,G55&lt;=-0.3),"超过30%","")</f>
        <v/>
      </c>
      <c r="I55" s="625">
        <f>IF(I48&lt;E48,E48/I48-1,I48/E48-1)</f>
        <v>8.1145584725537123E-3</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560</v>
      </c>
      <c r="B57" s="629" t="s">
        <v>561</v>
      </c>
      <c r="C57" s="1560" t="s">
        <v>1725</v>
      </c>
      <c r="D57" s="2228" t="s">
        <v>2296</v>
      </c>
      <c r="E57" s="630" t="s">
        <v>562</v>
      </c>
      <c r="F57" s="631" t="s">
        <v>563</v>
      </c>
      <c r="G57" s="3371" t="s">
        <v>2284</v>
      </c>
      <c r="H57" s="3372"/>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564</v>
      </c>
      <c r="B58" s="633">
        <f>C50</f>
        <v>12488</v>
      </c>
      <c r="C58" s="634">
        <v>1</v>
      </c>
      <c r="D58" s="2229">
        <v>1</v>
      </c>
      <c r="E58" s="634">
        <f>'数据-汇总表'!E8+'数据-汇总表'!E9</f>
        <v>6222</v>
      </c>
      <c r="F58" s="635">
        <f t="shared" ref="F58:F67" si="15">ROUND(B58*E58/10000,0)</f>
        <v>7770</v>
      </c>
      <c r="G58" s="3373"/>
      <c r="H58" s="337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565</v>
      </c>
      <c r="B59" s="637">
        <f>ROUND($C$50*C59*D59,0)</f>
        <v>0</v>
      </c>
      <c r="C59" s="377">
        <f t="shared" ref="C59:C67" si="16">IF($C$57="北京市系数",I59,J59)</f>
        <v>0</v>
      </c>
      <c r="D59" s="2230">
        <v>0.25</v>
      </c>
      <c r="E59" s="638">
        <v>0</v>
      </c>
      <c r="F59" s="635">
        <f t="shared" si="15"/>
        <v>0</v>
      </c>
      <c r="G59" s="3375"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566</v>
      </c>
      <c r="B60" s="637">
        <f t="shared" ref="B60:B67" si="17">ROUND($C$50*C60*D60,0)</f>
        <v>0</v>
      </c>
      <c r="C60" s="377">
        <f t="shared" si="16"/>
        <v>0</v>
      </c>
      <c r="D60" s="2230">
        <v>0.25</v>
      </c>
      <c r="E60" s="638">
        <v>0</v>
      </c>
      <c r="F60" s="635">
        <f t="shared" si="15"/>
        <v>0</v>
      </c>
      <c r="G60" s="337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567</v>
      </c>
      <c r="B61" s="637">
        <f t="shared" si="17"/>
        <v>0</v>
      </c>
      <c r="C61" s="377">
        <f t="shared" si="16"/>
        <v>0</v>
      </c>
      <c r="D61" s="2230">
        <v>0.25</v>
      </c>
      <c r="E61" s="638">
        <v>0</v>
      </c>
      <c r="F61" s="635">
        <f t="shared" si="15"/>
        <v>0</v>
      </c>
      <c r="G61" s="337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568</v>
      </c>
      <c r="B62" s="637">
        <f t="shared" si="17"/>
        <v>0</v>
      </c>
      <c r="C62" s="377">
        <f t="shared" si="16"/>
        <v>0</v>
      </c>
      <c r="D62" s="2230">
        <v>0.25</v>
      </c>
      <c r="E62" s="638">
        <v>0</v>
      </c>
      <c r="F62" s="635">
        <f t="shared" si="15"/>
        <v>0</v>
      </c>
      <c r="G62" s="337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7">
        <f t="shared" si="17"/>
        <v>0</v>
      </c>
      <c r="C63" s="377">
        <f t="shared" si="16"/>
        <v>0</v>
      </c>
      <c r="D63" s="2230">
        <v>0.25</v>
      </c>
      <c r="E63" s="640">
        <f>'数据-汇总表'!E11</f>
        <v>0</v>
      </c>
      <c r="F63" s="635">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569</v>
      </c>
      <c r="B64" s="637">
        <f t="shared" si="17"/>
        <v>0</v>
      </c>
      <c r="C64" s="377">
        <f t="shared" si="16"/>
        <v>0</v>
      </c>
      <c r="D64" s="2230">
        <v>0.25</v>
      </c>
      <c r="E64" s="640">
        <f>'数据-汇总表'!E12</f>
        <v>0</v>
      </c>
      <c r="F64" s="635">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570</v>
      </c>
      <c r="B65" s="637">
        <f t="shared" si="17"/>
        <v>0</v>
      </c>
      <c r="C65" s="377">
        <f t="shared" si="16"/>
        <v>0</v>
      </c>
      <c r="D65" s="2230">
        <v>0.25</v>
      </c>
      <c r="E65" s="640">
        <f>'数据-汇总表'!E13</f>
        <v>2251</v>
      </c>
      <c r="F65" s="635">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571</v>
      </c>
      <c r="B66" s="637">
        <f t="shared" si="17"/>
        <v>0</v>
      </c>
      <c r="C66" s="377">
        <f t="shared" si="16"/>
        <v>0</v>
      </c>
      <c r="D66" s="2230">
        <v>0.25</v>
      </c>
      <c r="E66" s="640">
        <f>'数据-汇总表'!E14</f>
        <v>0</v>
      </c>
      <c r="F66" s="635">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572</v>
      </c>
      <c r="B67" s="637">
        <f t="shared" si="17"/>
        <v>0</v>
      </c>
      <c r="C67" s="377">
        <f t="shared" si="16"/>
        <v>0</v>
      </c>
      <c r="D67" s="2230">
        <v>0.25</v>
      </c>
      <c r="E67" s="640">
        <f>'数据-汇总表'!E15</f>
        <v>0</v>
      </c>
      <c r="F67" s="635">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573</v>
      </c>
      <c r="B68" s="642" t="s">
        <v>17</v>
      </c>
      <c r="C68" s="642" t="s">
        <v>18</v>
      </c>
      <c r="D68" s="642" t="s">
        <v>2297</v>
      </c>
      <c r="E68" s="642">
        <f>IF(B48="楼面地价",SUM(E58:E67),'数据-汇总表'!D3)</f>
        <v>8473</v>
      </c>
      <c r="F68" s="643">
        <f>IF(B48="楼面地价",SUM(F58:F67),ROUND(C50*E68/10000,0))</f>
        <v>7770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2650</v>
      </c>
      <c r="B73" s="478" t="str">
        <f>"北京市平均增长率"&amp;TEXT(SUMIF(基准地价!N21:N25,A73,基准地价!P21:P25),"0.00%")</f>
        <v>北京市平均增长率2.23%</v>
      </c>
      <c r="C73" s="893">
        <v>100</v>
      </c>
      <c r="D73" s="3181">
        <f>C73-$C$74</f>
        <v>100</v>
      </c>
      <c r="E73" s="3181">
        <f t="shared" ref="E73:N73" si="20">D73-$C$74</f>
        <v>100</v>
      </c>
      <c r="F73" s="3181">
        <f t="shared" si="20"/>
        <v>100</v>
      </c>
      <c r="G73" s="3181">
        <f t="shared" si="20"/>
        <v>100</v>
      </c>
      <c r="H73" s="3181">
        <f t="shared" si="20"/>
        <v>100</v>
      </c>
      <c r="I73" s="3181">
        <f t="shared" si="20"/>
        <v>100</v>
      </c>
      <c r="J73" s="3181">
        <f t="shared" si="20"/>
        <v>100</v>
      </c>
      <c r="K73" s="3181">
        <f t="shared" si="20"/>
        <v>100</v>
      </c>
      <c r="L73" s="3181">
        <f t="shared" si="20"/>
        <v>100</v>
      </c>
      <c r="M73" s="3181">
        <f t="shared" si="20"/>
        <v>100</v>
      </c>
      <c r="N73" s="3181">
        <f t="shared" si="20"/>
        <v>100</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2649</v>
      </c>
      <c r="B74" s="2806"/>
      <c r="C74" s="3196">
        <v>0</v>
      </c>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531</v>
      </c>
      <c r="B75" s="647"/>
      <c r="C75" s="659" t="s">
        <v>576</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577</v>
      </c>
      <c r="B77" s="664" t="s">
        <v>534</v>
      </c>
      <c r="C77" s="3182" t="s">
        <v>3093</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537</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0</v>
      </c>
      <c r="D82" s="540">
        <v>1</v>
      </c>
      <c r="E82" s="540">
        <v>2</v>
      </c>
      <c r="F82" s="540">
        <v>3</v>
      </c>
      <c r="G82" s="540">
        <v>4</v>
      </c>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539</v>
      </c>
      <c r="B90" s="664" t="s">
        <v>578</v>
      </c>
      <c r="C90" s="702" t="s">
        <v>579</v>
      </c>
      <c r="D90" s="702" t="s">
        <v>580</v>
      </c>
      <c r="E90" s="702" t="s">
        <v>581</v>
      </c>
      <c r="F90" s="702" t="s">
        <v>582</v>
      </c>
      <c r="G90" s="702" t="s">
        <v>583</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97</v>
      </c>
      <c r="E91" s="678">
        <f>D91-$K17</f>
        <v>94</v>
      </c>
      <c r="F91" s="678">
        <f>E91-$K17</f>
        <v>91</v>
      </c>
      <c r="G91" s="678">
        <f>F91-$K17</f>
        <v>88</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584</v>
      </c>
      <c r="C92" s="707" t="s">
        <v>579</v>
      </c>
      <c r="D92" s="707" t="s">
        <v>580</v>
      </c>
      <c r="E92" s="707" t="s">
        <v>581</v>
      </c>
      <c r="F92" s="707" t="s">
        <v>582</v>
      </c>
      <c r="G92" s="707" t="s">
        <v>583</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585</v>
      </c>
      <c r="C94" s="707" t="s">
        <v>579</v>
      </c>
      <c r="D94" s="707" t="s">
        <v>580</v>
      </c>
      <c r="E94" s="707" t="s">
        <v>581</v>
      </c>
      <c r="F94" s="707" t="s">
        <v>582</v>
      </c>
      <c r="G94" s="707" t="s">
        <v>583</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586</v>
      </c>
      <c r="C96" s="707" t="s">
        <v>579</v>
      </c>
      <c r="D96" s="707" t="s">
        <v>580</v>
      </c>
      <c r="E96" s="707" t="s">
        <v>581</v>
      </c>
      <c r="F96" s="707" t="s">
        <v>582</v>
      </c>
      <c r="G96" s="707" t="s">
        <v>583</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98</v>
      </c>
      <c r="E97" s="678">
        <f>D97-$K23</f>
        <v>96</v>
      </c>
      <c r="F97" s="678">
        <f>E97-$K23</f>
        <v>94</v>
      </c>
      <c r="G97" s="678">
        <f>F97-$K23</f>
        <v>92</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2551</v>
      </c>
      <c r="C102" s="702" t="s">
        <v>579</v>
      </c>
      <c r="D102" s="702" t="s">
        <v>580</v>
      </c>
      <c r="E102" s="702" t="s">
        <v>581</v>
      </c>
      <c r="F102" s="702" t="s">
        <v>582</v>
      </c>
      <c r="G102" s="702" t="s">
        <v>583</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2553</v>
      </c>
      <c r="C104" s="2599" t="s">
        <v>2554</v>
      </c>
      <c r="D104" s="2599" t="s">
        <v>2555</v>
      </c>
      <c r="E104" s="2599" t="s">
        <v>2556</v>
      </c>
      <c r="F104" s="2599" t="s">
        <v>2557</v>
      </c>
      <c r="G104" s="2599" t="s">
        <v>2558</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548</v>
      </c>
      <c r="C108" s="3188" t="s">
        <v>3122</v>
      </c>
      <c r="D108" s="3188" t="s">
        <v>3123</v>
      </c>
      <c r="E108" s="3188" t="s">
        <v>3124</v>
      </c>
      <c r="F108" s="3188" t="s">
        <v>3126</v>
      </c>
      <c r="G108" s="3188" t="s">
        <v>3127</v>
      </c>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549</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551</v>
      </c>
      <c r="B118" s="664" t="s">
        <v>593</v>
      </c>
      <c r="C118" s="703" t="str">
        <f t="shared" ref="C118:L118" si="26">C119&amp;"(含)"&amp;"-"&amp;D119</f>
        <v>0(含)-20000</v>
      </c>
      <c r="D118" s="703" t="str">
        <f t="shared" si="26"/>
        <v>20000(含)-50000</v>
      </c>
      <c r="E118" s="703" t="str">
        <f t="shared" si="26"/>
        <v>50000(含)-100000</v>
      </c>
      <c r="F118" s="703" t="str">
        <f t="shared" si="26"/>
        <v>100000(含)-200000</v>
      </c>
      <c r="G118" s="703" t="str">
        <f t="shared" si="26"/>
        <v>200000(含)-</v>
      </c>
      <c r="H118" s="703" t="str">
        <f t="shared" si="26"/>
        <v>(含)-</v>
      </c>
      <c r="I118" s="703" t="str">
        <f t="shared" si="26"/>
        <v>(含)-</v>
      </c>
      <c r="J118" s="3091" t="str">
        <f t="shared" si="26"/>
        <v>(含)-</v>
      </c>
      <c r="K118" s="3091" t="str">
        <f t="shared" si="26"/>
        <v>(含)-</v>
      </c>
      <c r="L118" s="3092" t="str">
        <f t="shared" si="26"/>
        <v>(含)-</v>
      </c>
      <c r="M118" s="3093"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0</v>
      </c>
      <c r="D119" s="729">
        <v>20000</v>
      </c>
      <c r="E119" s="729">
        <v>50000</v>
      </c>
      <c r="F119" s="729">
        <v>100000</v>
      </c>
      <c r="G119" s="729">
        <v>200000</v>
      </c>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102</v>
      </c>
      <c r="E120" s="725">
        <v>104</v>
      </c>
      <c r="F120" s="725">
        <v>106</v>
      </c>
      <c r="G120" s="725">
        <v>108</v>
      </c>
      <c r="H120" s="725"/>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594</v>
      </c>
      <c r="C121" s="3189" t="s">
        <v>3129</v>
      </c>
      <c r="D121" s="3189" t="s">
        <v>3131</v>
      </c>
      <c r="E121" s="3189" t="s">
        <v>3133</v>
      </c>
      <c r="F121" s="3189" t="s">
        <v>3135</v>
      </c>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7">C122-$K41</f>
        <v>97</v>
      </c>
      <c r="E122" s="678">
        <f t="shared" si="27"/>
        <v>94</v>
      </c>
      <c r="F122" s="678">
        <f t="shared" si="27"/>
        <v>91</v>
      </c>
      <c r="G122" s="678">
        <f t="shared" si="27"/>
        <v>88</v>
      </c>
      <c r="H122" s="678">
        <f t="shared" si="27"/>
        <v>85</v>
      </c>
      <c r="I122" s="678">
        <f t="shared" si="27"/>
        <v>82</v>
      </c>
      <c r="J122" s="678">
        <f t="shared" si="27"/>
        <v>79</v>
      </c>
      <c r="K122" s="678">
        <f t="shared" si="27"/>
        <v>76</v>
      </c>
      <c r="L122" s="678">
        <f t="shared" si="27"/>
        <v>73</v>
      </c>
      <c r="M122" s="679">
        <f t="shared" si="27"/>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595</v>
      </c>
      <c r="C123" s="687"/>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2428</v>
      </c>
      <c r="C125" s="1375" t="s">
        <v>3099</v>
      </c>
      <c r="D125" s="1375" t="s">
        <v>3100</v>
      </c>
      <c r="E125" s="1375" t="s">
        <v>3101</v>
      </c>
      <c r="F125" s="1375" t="s">
        <v>3103</v>
      </c>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596</v>
      </c>
      <c r="C127" s="3188" t="s">
        <v>3136</v>
      </c>
      <c r="D127" s="3188" t="s">
        <v>3137</v>
      </c>
      <c r="E127" s="3189" t="s">
        <v>3138</v>
      </c>
      <c r="F127" s="3189" t="s">
        <v>3139</v>
      </c>
      <c r="G127" s="3189" t="s">
        <v>3140</v>
      </c>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41" sqref="G4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1">
        <f>MATCH(B1,'数据-取费表'!A6:A16,0)+5</f>
        <v>8</v>
      </c>
    </row>
    <row r="2" spans="1:31" s="2042" customFormat="1" ht="18" customHeight="1">
      <c r="A2" s="2102" t="s">
        <v>467</v>
      </c>
      <c r="B2" s="2106">
        <f ca="1">C36</f>
        <v>8946</v>
      </c>
      <c r="C2" s="2105"/>
      <c r="D2" s="2105"/>
      <c r="E2" s="2105"/>
      <c r="F2" s="2105"/>
      <c r="G2" s="2105"/>
      <c r="H2" s="2105"/>
      <c r="I2" s="2105"/>
      <c r="J2" s="2105"/>
      <c r="K2" s="2105"/>
    </row>
    <row r="3" spans="1:31" s="2042" customFormat="1" ht="18" customHeight="1">
      <c r="A3" s="2107" t="s">
        <v>1685</v>
      </c>
      <c r="B3" s="2108">
        <f ca="1">ROUND(B2*10000/IF(B1="",'数据-汇总表'!E3,INDIRECT("'数据-取费表'!K"&amp;$K$1)),0)</f>
        <v>9478</v>
      </c>
      <c r="C3" s="2105"/>
      <c r="D3" s="2105"/>
      <c r="E3" s="2105"/>
      <c r="F3" s="2105"/>
      <c r="G3" s="2105"/>
      <c r="H3" s="2105"/>
      <c r="I3" s="2105"/>
      <c r="J3" s="2105"/>
      <c r="K3" s="2105"/>
    </row>
    <row r="4" spans="1:31" s="2042" customFormat="1" ht="18" customHeight="1">
      <c r="A4" s="425" t="s">
        <v>468</v>
      </c>
      <c r="B4" s="426">
        <f ca="1">ROUND(B2*10000/IF(B1="",'数据-汇总表'!D3,INDIRECT("'数据-取费表'!R"&amp;$K$1)),0)</f>
        <v>33028</v>
      </c>
      <c r="C4" s="427"/>
      <c r="D4" s="421"/>
      <c r="E4" s="421"/>
      <c r="F4" s="421"/>
      <c r="G4" s="421"/>
      <c r="H4" s="421"/>
      <c r="I4" s="421"/>
      <c r="J4" s="421"/>
      <c r="K4" s="421"/>
    </row>
    <row r="5" spans="1:31" s="2042" customFormat="1" ht="18" customHeight="1" thickBot="1">
      <c r="A5" s="428"/>
      <c r="B5" s="429">
        <f ca="1">ROUND(B2/(IF(B1="",'数据-汇总表'!D3,INDIRECT("'数据-取费表'!R"&amp;$K$1))/666.67),0)</f>
        <v>2202</v>
      </c>
      <c r="C5" s="430" t="s">
        <v>469</v>
      </c>
      <c r="D5" s="421"/>
      <c r="E5" s="421"/>
      <c r="F5" s="421"/>
      <c r="G5" s="421"/>
      <c r="H5" s="421"/>
      <c r="I5" s="421"/>
      <c r="J5" s="421"/>
      <c r="K5" s="421"/>
    </row>
    <row r="6" spans="1:31" s="2112" customFormat="1" ht="16.5" customHeight="1">
      <c r="A6" s="2829" t="s">
        <v>1843</v>
      </c>
      <c r="B6" s="2830"/>
      <c r="C6" s="2831">
        <f ca="1">SUM(C10:K10)</f>
        <v>15068</v>
      </c>
      <c r="D6" s="2830"/>
      <c r="E6" s="2830"/>
      <c r="F6" s="2830"/>
      <c r="G6" s="2830"/>
      <c r="H6" s="2830"/>
      <c r="I6" s="2830"/>
      <c r="J6" s="2830"/>
      <c r="K6" s="2832"/>
    </row>
    <row r="7" spans="1:31" s="2114" customFormat="1" ht="15">
      <c r="A7" s="2833" t="s">
        <v>470</v>
      </c>
      <c r="B7" s="2834" t="s">
        <v>471</v>
      </c>
      <c r="C7" s="435" t="s">
        <v>923</v>
      </c>
      <c r="D7" s="435" t="s">
        <v>3110</v>
      </c>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1846</v>
      </c>
      <c r="B8" s="260" t="s">
        <v>472</v>
      </c>
      <c r="C8" s="2835">
        <f>'不动产比较法-住宅'!B3</f>
        <v>23412</v>
      </c>
      <c r="D8" s="2835">
        <f ca="1">不动产收益法!B3</f>
        <v>2226</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1847</v>
      </c>
      <c r="B9" s="260" t="s">
        <v>473</v>
      </c>
      <c r="C9" s="440">
        <f>SUMIF('数据-汇总表'!$C19:$C33,'剩余法-待开发'!C7,'数据-汇总表'!$E19:$E33)</f>
        <v>6222</v>
      </c>
      <c r="D9" s="440">
        <f>SUMIF('数据-汇总表'!$C19:$C33,'剩余法-待开发'!D7,'数据-汇总表'!$E19:$E33)</f>
        <v>2251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14567</v>
      </c>
      <c r="D10" s="3030">
        <f ca="1">不动产收益法!B2</f>
        <v>501</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49">
        <f ca="1">IF(B1="",'数据-取费表'!P16,INDIRECT("'数据-取费表'!p"&amp;$K$1)+INDIRECT("'数据-取费表'!t"&amp;$K$1))</f>
        <v>2496</v>
      </c>
      <c r="D13" s="2845"/>
      <c r="E13" s="2846"/>
      <c r="F13" s="2847"/>
      <c r="G13" s="2813"/>
      <c r="H13" s="2814"/>
      <c r="I13" s="2814"/>
      <c r="J13" s="2814"/>
      <c r="K13" s="2815"/>
    </row>
    <row r="14" spans="1:31" s="2117" customFormat="1" ht="13.5" customHeight="1">
      <c r="A14" s="2843" t="s">
        <v>1850</v>
      </c>
      <c r="B14" s="2844" t="s">
        <v>480</v>
      </c>
      <c r="C14" s="53">
        <f ca="1">ROUND(C13*F14,0)</f>
        <v>75</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93</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189</v>
      </c>
      <c r="D16" s="2845">
        <f ca="1">IF(B1="",'数据-汇总表'!E3,INDIRECT("'数据-取费表'!K"&amp;$K$1)+INDIRECT("'数据-取费表'!S"&amp;$K$1))</f>
        <v>9439</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37</v>
      </c>
      <c r="D17" s="474"/>
      <c r="E17" s="2849"/>
      <c r="F17" s="2850">
        <f>'数据-取费表'!B36</f>
        <v>1.4999999999999999E-2</v>
      </c>
      <c r="G17" s="260" t="s">
        <v>486</v>
      </c>
      <c r="H17" s="2816"/>
      <c r="I17" s="2816"/>
      <c r="J17" s="2816"/>
      <c r="K17" s="278"/>
    </row>
    <row r="18" spans="1:14" s="2117" customFormat="1" ht="13.5" customHeight="1">
      <c r="A18" s="2851" t="s">
        <v>1854</v>
      </c>
      <c r="B18" s="2852" t="s">
        <v>487</v>
      </c>
      <c r="C18" s="2853">
        <f ca="1">SUM(C13:C17)</f>
        <v>2890</v>
      </c>
      <c r="D18" s="2854"/>
      <c r="E18" s="467"/>
      <c r="F18" s="467"/>
      <c r="G18" s="2817" t="s">
        <v>2433</v>
      </c>
      <c r="H18" s="2818"/>
      <c r="I18" s="2818"/>
      <c r="J18" s="2818"/>
      <c r="K18" s="2819"/>
    </row>
    <row r="19" spans="1:14" s="2117" customFormat="1" ht="13.5" customHeight="1">
      <c r="A19" s="2851" t="s">
        <v>1855</v>
      </c>
      <c r="B19" s="2852" t="s">
        <v>488</v>
      </c>
      <c r="C19" s="2809">
        <f ca="1">ROUND(D19*E19/10000,0)</f>
        <v>0</v>
      </c>
      <c r="D19" s="2855">
        <f ca="1">D16</f>
        <v>9439</v>
      </c>
      <c r="E19" s="2809">
        <f>'数据-取费表'!B32</f>
        <v>0</v>
      </c>
      <c r="F19" s="467"/>
      <c r="G19" s="2813" t="s">
        <v>489</v>
      </c>
      <c r="H19" s="2814"/>
      <c r="I19" s="2818"/>
      <c r="J19" s="2818"/>
      <c r="K19" s="2819"/>
    </row>
    <row r="20" spans="1:14" s="2117" customFormat="1" ht="13.5" customHeight="1">
      <c r="A20" s="2851" t="s">
        <v>1856</v>
      </c>
      <c r="B20" s="2852" t="s">
        <v>490</v>
      </c>
      <c r="C20" s="2809">
        <f ca="1">C21+C22-IF(B1="",'数据-取费表'!B29,IF(G20="已全部缴纳",C21+C22,H20))</f>
        <v>179</v>
      </c>
      <c r="D20" s="2855"/>
      <c r="E20" s="2809"/>
      <c r="F20" s="2856"/>
      <c r="G20" s="3087"/>
      <c r="H20" s="2811"/>
      <c r="I20" s="2812" t="s">
        <v>2654</v>
      </c>
      <c r="J20" s="2818"/>
      <c r="K20" s="2819"/>
    </row>
    <row r="21" spans="1:14" s="2117" customFormat="1" ht="13.5" customHeight="1">
      <c r="A21" s="2843" t="s">
        <v>1857</v>
      </c>
      <c r="B21" s="2844" t="s">
        <v>491</v>
      </c>
      <c r="C21" s="53">
        <f ca="1">ROUND(D21*E21/10000,0)</f>
        <v>118</v>
      </c>
      <c r="D21" s="2845">
        <f ca="1">IF(B1="",'数据-汇总表'!E5,IF(INDIRECT("'数据-取费表'!c"&amp;$K$1)="住宅",INDIRECT("'数据-取费表'!k"&amp;$K$1),0))</f>
        <v>6222</v>
      </c>
      <c r="E21" s="53">
        <f>'数据-取费表'!B27</f>
        <v>189</v>
      </c>
      <c r="F21" s="2848"/>
      <c r="G21" s="26"/>
      <c r="H21" s="51"/>
      <c r="I21" s="51"/>
      <c r="J21" s="51"/>
      <c r="K21" s="2820"/>
    </row>
    <row r="22" spans="1:14" s="2117" customFormat="1" ht="13.5" customHeight="1">
      <c r="A22" s="2843" t="s">
        <v>1858</v>
      </c>
      <c r="B22" s="2844" t="s">
        <v>492</v>
      </c>
      <c r="C22" s="53">
        <f ca="1">ROUND(D22*E22/10000,0)</f>
        <v>61</v>
      </c>
      <c r="D22" s="2845">
        <f ca="1">IF(B1="",'数据-汇总表'!E6,IF(INDIRECT("'数据-取费表'!c"&amp;$K$1)="住宅",INDIRECT("'数据-取费表'!s"&amp;$K$1),INDIRECT("'数据-取费表'!k"&amp;$K$1)+INDIRECT("'数据-取费表'!s"&amp;$K$1)))</f>
        <v>3217</v>
      </c>
      <c r="E22" s="53">
        <f>'数据-取费表'!B28</f>
        <v>189</v>
      </c>
      <c r="F22" s="2848"/>
      <c r="G22" s="26"/>
      <c r="H22" s="51"/>
      <c r="I22" s="51"/>
      <c r="J22" s="51"/>
      <c r="K22" s="2820"/>
    </row>
    <row r="23" spans="1:14" s="2117" customFormat="1" ht="13.5" customHeight="1">
      <c r="A23" s="2851" t="s">
        <v>1859</v>
      </c>
      <c r="B23" s="3036" t="s">
        <v>2837</v>
      </c>
      <c r="C23" s="2853">
        <f ca="1">ROUND((C18+C19+C20)*F23,0)</f>
        <v>61</v>
      </c>
      <c r="D23" s="467"/>
      <c r="E23" s="467"/>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151</v>
      </c>
      <c r="D24" s="474"/>
      <c r="E24" s="472"/>
      <c r="F24" s="2857">
        <f>'数据-取费表'!B38</f>
        <v>0.01</v>
      </c>
      <c r="G24" s="2822" t="s">
        <v>499</v>
      </c>
      <c r="H24" s="2816"/>
      <c r="I24" s="2816"/>
      <c r="J24" s="2816"/>
      <c r="K24" s="278"/>
      <c r="L24" s="2119"/>
      <c r="M24" s="2119"/>
      <c r="N24" s="2119"/>
    </row>
    <row r="25" spans="1:14" s="2120" customFormat="1" ht="13.5" customHeight="1">
      <c r="A25" s="2851" t="s">
        <v>1861</v>
      </c>
      <c r="B25" s="3036" t="s">
        <v>2838</v>
      </c>
      <c r="C25" s="466">
        <f>ROUND(F25/(1+'数据-取费表'!C42),4)</f>
        <v>2.9000000000000001E-2</v>
      </c>
      <c r="D25" s="461" t="s">
        <v>2832</v>
      </c>
      <c r="E25" s="468"/>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116</v>
      </c>
      <c r="D26" s="466">
        <f ca="1">C27</f>
        <v>7.4200000000000002E-2</v>
      </c>
      <c r="E26" s="468" t="s">
        <v>495</v>
      </c>
      <c r="F26" s="470">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2" t="s">
        <v>1857</v>
      </c>
      <c r="B27" s="2859" t="s">
        <v>496</v>
      </c>
      <c r="C27" s="2860">
        <f ca="1">ROUND(IF('数据-取费表'!B22&lt;=1,(1+C25)*F26*'数据-取费表'!B24,(1+C25)*(POWER((1+F26),'数据-取费表'!B24)-1)),4)</f>
        <v>7.4200000000000002E-2</v>
      </c>
      <c r="D27" s="471"/>
      <c r="E27" s="472"/>
      <c r="F27" s="473"/>
      <c r="G27" s="2573" t="str">
        <f>IF('数据-取费表'!B22&lt;=1,"（1+取得税费率/(1+5%)）×年利率×建设期","（1+取得税费率）/(1+5%)×((1+年利率)^建设期-1)")</f>
        <v>（1+取得税费率）/(1+5%)×((1+年利率)^建设期-1)</v>
      </c>
      <c r="H27" s="2816"/>
      <c r="I27" s="2816"/>
      <c r="J27" s="2816"/>
      <c r="K27" s="278"/>
    </row>
    <row r="28" spans="1:14" s="2121" customFormat="1" ht="13.5" customHeight="1">
      <c r="A28" s="802" t="s">
        <v>1858</v>
      </c>
      <c r="B28" s="2859" t="s">
        <v>2841</v>
      </c>
      <c r="C28" s="2861">
        <f ca="1">ROUND(IF('数据-取费表'!B22&lt;=1,(C18+C19+C20+C23+C24)*F26*'数据-取费表'!B24/2,(C18+C19+C20+C23+C24)*(POWER((1+F26),'数据-取费表'!B24/2)-1)),0)</f>
        <v>116</v>
      </c>
      <c r="D28" s="471"/>
      <c r="E28" s="472"/>
      <c r="F28" s="473"/>
      <c r="G28" s="2573" t="str">
        <f>IF('数据-取费表'!B22&lt;=1,"（1）-（4）项×年利率×建设期÷2","（1）-（4）项×((1+年利率)^(建设期÷2)-1)")</f>
        <v>（1）-（4）项×((1+年利率)^(建设期÷2)-1)</v>
      </c>
      <c r="H28" s="2816"/>
      <c r="I28" s="2816"/>
      <c r="J28" s="2816"/>
      <c r="K28" s="278"/>
    </row>
    <row r="29" spans="1:14" s="2121" customFormat="1" ht="13.5" customHeight="1">
      <c r="A29" s="2862" t="s">
        <v>1863</v>
      </c>
      <c r="B29" s="2852" t="s">
        <v>497</v>
      </c>
      <c r="C29" s="2853">
        <f ca="1">ROUND(C6*F29/(1+'数据-取费表'!C42),0)</f>
        <v>804</v>
      </c>
      <c r="D29" s="467"/>
      <c r="E29" s="467"/>
      <c r="F29" s="3038">
        <f>'数据-取费表'!B41</f>
        <v>5.6000000000000001E-2</v>
      </c>
      <c r="G29" s="2822" t="s">
        <v>498</v>
      </c>
      <c r="H29" s="2814"/>
      <c r="I29" s="2814"/>
      <c r="J29" s="2814"/>
      <c r="K29" s="2815"/>
    </row>
    <row r="30" spans="1:14" s="2122" customFormat="1" ht="13.5" customHeight="1">
      <c r="A30" s="1635" t="s">
        <v>1864</v>
      </c>
      <c r="B30" s="2863" t="s">
        <v>500</v>
      </c>
      <c r="C30" s="2858">
        <f ca="1">C31</f>
        <v>4201</v>
      </c>
      <c r="D30" s="476">
        <f ca="1">C32</f>
        <v>0.1032</v>
      </c>
      <c r="E30" s="468" t="s">
        <v>495</v>
      </c>
      <c r="F30" s="470"/>
      <c r="G30" s="2821" t="s">
        <v>2974</v>
      </c>
      <c r="H30" s="2814"/>
      <c r="I30" s="2814"/>
      <c r="J30" s="2814"/>
      <c r="K30" s="2815"/>
    </row>
    <row r="31" spans="1:14" s="2121" customFormat="1" ht="13.5" customHeight="1">
      <c r="A31" s="802" t="s">
        <v>1857</v>
      </c>
      <c r="B31" s="2859"/>
      <c r="C31" s="449">
        <f ca="1">C18+C19+C20+C23+C24+C26+C29</f>
        <v>4201</v>
      </c>
      <c r="D31" s="471"/>
      <c r="E31" s="472"/>
      <c r="F31" s="473"/>
      <c r="G31" s="260"/>
      <c r="H31" s="2816"/>
      <c r="I31" s="2816"/>
      <c r="J31" s="2816"/>
      <c r="K31" s="278"/>
    </row>
    <row r="32" spans="1:14" s="2121" customFormat="1" ht="13.5" customHeight="1">
      <c r="A32" s="802" t="s">
        <v>1858</v>
      </c>
      <c r="B32" s="2859"/>
      <c r="C32" s="53">
        <f ca="1">ROUND(C25+D26,4)</f>
        <v>0.1032</v>
      </c>
      <c r="D32" s="471"/>
      <c r="E32" s="472"/>
      <c r="F32" s="473"/>
      <c r="G32" s="260"/>
      <c r="H32" s="2816"/>
      <c r="I32" s="2816"/>
      <c r="J32" s="2816"/>
      <c r="K32" s="278"/>
    </row>
    <row r="33" spans="1:11" s="2123" customFormat="1" ht="13.5" customHeight="1">
      <c r="A33" s="3035" t="s">
        <v>2836</v>
      </c>
      <c r="B33" s="3033" t="s">
        <v>2834</v>
      </c>
      <c r="C33" s="477">
        <f ca="1">C35</f>
        <v>262</v>
      </c>
      <c r="D33" s="466">
        <f ca="1">C34</f>
        <v>8.2299999999999998E-2</v>
      </c>
      <c r="E33" s="468" t="s">
        <v>495</v>
      </c>
      <c r="F33" s="478">
        <f ca="1">IF(B1="",'数据-取费表'!Q16,INDIRECT("'数据-取费表'!q"&amp;$K$1))</f>
        <v>0.08</v>
      </c>
      <c r="G33" s="2817"/>
      <c r="H33" s="2818"/>
      <c r="I33" s="2818"/>
      <c r="J33" s="2818"/>
      <c r="K33" s="2819"/>
    </row>
    <row r="34" spans="1:11" s="2124" customFormat="1" ht="13.5" customHeight="1">
      <c r="A34" s="374" t="s">
        <v>1857</v>
      </c>
      <c r="B34" s="2864" t="s">
        <v>501</v>
      </c>
      <c r="C34" s="471">
        <f ca="1">ROUND((1+C25)*F33,4)</f>
        <v>8.2299999999999998E-2</v>
      </c>
      <c r="D34" s="471"/>
      <c r="E34" s="472"/>
      <c r="F34" s="479"/>
      <c r="G34" s="260" t="s">
        <v>2293</v>
      </c>
      <c r="H34" s="2816"/>
      <c r="I34" s="2816"/>
      <c r="J34" s="2816"/>
      <c r="K34" s="278"/>
    </row>
    <row r="35" spans="1:11" s="2124" customFormat="1" ht="13.5" customHeight="1" thickBot="1">
      <c r="A35" s="1636" t="s">
        <v>1858</v>
      </c>
      <c r="B35" s="3034" t="s">
        <v>2842</v>
      </c>
      <c r="C35" s="1628">
        <f ca="1">ROUND((C18+C19+C20+C23+C24)*F33,0)</f>
        <v>262</v>
      </c>
      <c r="D35" s="1629"/>
      <c r="E35" s="2865"/>
      <c r="F35" s="1630"/>
      <c r="G35" s="2823"/>
      <c r="H35" s="2824"/>
      <c r="I35" s="2824"/>
      <c r="J35" s="2824"/>
      <c r="K35" s="2825"/>
    </row>
    <row r="36" spans="1:11" s="2086" customFormat="1" ht="13.5" customHeight="1" thickBot="1">
      <c r="A36" s="283" t="s">
        <v>1845</v>
      </c>
      <c r="B36" s="2827"/>
      <c r="C36" s="2866">
        <f ca="1">ROUND((C6-C30-C33)/(1+D30+D33),0)</f>
        <v>8946</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6" t="str">
        <f>项目基本情况!B1</f>
        <v>出让国有建设用地使用权抵押价格预评估</v>
      </c>
      <c r="C37" s="3206"/>
      <c r="D37" s="3206"/>
      <c r="E37" s="3206"/>
      <c r="F37" s="3206"/>
      <c r="G37" s="3206"/>
      <c r="H37" s="3206"/>
      <c r="I37" s="320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吴薇、郑燚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10"/>
      <c r="C1" s="2105"/>
      <c r="D1" s="2105"/>
      <c r="E1" s="2105"/>
      <c r="F1" s="2105"/>
      <c r="G1" s="2105"/>
      <c r="H1" s="2105"/>
      <c r="I1" s="2105"/>
      <c r="J1" s="2105"/>
      <c r="K1" s="421">
        <f>MATCH(B1,'数据-取费表'!A6:A16,0)+5</f>
        <v>8</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1685</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2655</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1849</v>
      </c>
      <c r="B13" s="448" t="s">
        <v>479</v>
      </c>
      <c r="C13" s="449">
        <f ca="1">IF(B1="",'数据-取费表'!M16,INDIRECT("'数据-取费表'!M"&amp;$K$1)+INDIRECT("'数据-取费表'!t"&amp;$K$1))</f>
        <v>2496</v>
      </c>
      <c r="D13" s="450"/>
      <c r="E13" s="364"/>
      <c r="F13" s="451"/>
      <c r="G13" s="443"/>
      <c r="H13" s="446"/>
      <c r="I13" s="446"/>
      <c r="J13" s="446"/>
      <c r="K13" s="447"/>
    </row>
    <row r="14" spans="1:41" s="2117" customFormat="1" ht="13.5" customHeight="1">
      <c r="A14" s="1633" t="s">
        <v>1850</v>
      </c>
      <c r="B14" s="448" t="s">
        <v>480</v>
      </c>
      <c r="C14" s="53">
        <f ca="1">ROUND(C13*F14,0)</f>
        <v>75</v>
      </c>
      <c r="D14" s="450"/>
      <c r="E14" s="364"/>
      <c r="F14" s="452">
        <f>'数据-取费表'!B33</f>
        <v>0.03</v>
      </c>
      <c r="G14" s="443" t="s">
        <v>502</v>
      </c>
      <c r="H14" s="446"/>
      <c r="I14" s="446"/>
      <c r="J14" s="446"/>
      <c r="K14" s="447"/>
    </row>
    <row r="15" spans="1:41" s="2117" customFormat="1" ht="13.5" customHeight="1">
      <c r="A15" s="1633" t="s">
        <v>1851</v>
      </c>
      <c r="B15" s="448" t="s">
        <v>482</v>
      </c>
      <c r="C15" s="53">
        <f ca="1">ROUND(IF(B1="",SUMIF('数据-取费表'!C:C,"住宅",'数据-取费表'!M:M)*F15,IF(INDIRECT("'数据-取费表'!c"&amp;$K$1)="住宅",INDIRECT("'数据-取费表'!M"&amp;$K$1)*F15,0)),0)</f>
        <v>93</v>
      </c>
      <c r="D15" s="450"/>
      <c r="E15" s="364"/>
      <c r="F15" s="452">
        <f>'数据-取费表'!B34</f>
        <v>0.05</v>
      </c>
      <c r="G15" s="443" t="s">
        <v>502</v>
      </c>
      <c r="H15" s="446"/>
      <c r="I15" s="446"/>
      <c r="J15" s="446"/>
      <c r="K15" s="447"/>
    </row>
    <row r="16" spans="1:41" s="2118" customFormat="1" ht="13.5" customHeight="1">
      <c r="A16" s="1633" t="s">
        <v>1852</v>
      </c>
      <c r="B16" s="448" t="s">
        <v>484</v>
      </c>
      <c r="C16" s="53">
        <f ca="1">ROUND(D16*E16/10000,0)</f>
        <v>189</v>
      </c>
      <c r="D16" s="450">
        <f ca="1">IF(B1="",'数据-汇总表'!E3,INDIRECT("'数据-取费表'!K"&amp;$K$1)+INDIRECT("'数据-取费表'!S"&amp;$K$1))</f>
        <v>9439</v>
      </c>
      <c r="E16" s="53">
        <f>'数据-取费表'!B35</f>
        <v>200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8" t="s">
        <v>485</v>
      </c>
      <c r="C17" s="453">
        <f ca="1">ROUND(C13*F17,0)</f>
        <v>37</v>
      </c>
      <c r="D17" s="454"/>
      <c r="E17" s="453"/>
      <c r="F17" s="455">
        <f>'数据-取费表'!B36</f>
        <v>1.4999999999999999E-2</v>
      </c>
      <c r="G17" s="443" t="s">
        <v>502</v>
      </c>
      <c r="H17" s="456"/>
      <c r="I17" s="456"/>
      <c r="J17" s="456"/>
      <c r="K17" s="457"/>
    </row>
    <row r="18" spans="1:14" s="2120" customFormat="1" ht="13.5" customHeight="1">
      <c r="A18" s="1634" t="s">
        <v>1854</v>
      </c>
      <c r="B18" s="458" t="s">
        <v>487</v>
      </c>
      <c r="C18" s="459">
        <f ca="1">SUM(C13:C17)</f>
        <v>2890</v>
      </c>
      <c r="D18" s="460"/>
      <c r="E18" s="461"/>
      <c r="F18" s="461"/>
      <c r="G18" s="1326" t="s">
        <v>2435</v>
      </c>
      <c r="H18" s="446"/>
      <c r="I18" s="446"/>
      <c r="J18" s="446"/>
      <c r="K18" s="447"/>
    </row>
    <row r="19" spans="1:14" s="2120" customFormat="1" ht="13.5" customHeight="1">
      <c r="A19" s="1634" t="s">
        <v>1855</v>
      </c>
      <c r="B19" s="458" t="s">
        <v>493</v>
      </c>
      <c r="C19" s="459">
        <f ca="1">ROUND(C18*F19,0)</f>
        <v>58</v>
      </c>
      <c r="D19" s="461"/>
      <c r="E19" s="461"/>
      <c r="F19" s="465">
        <f>'数据-取费表'!B37</f>
        <v>0.02</v>
      </c>
      <c r="G19" s="443" t="s">
        <v>503</v>
      </c>
      <c r="H19" s="446"/>
      <c r="I19" s="446"/>
      <c r="J19" s="446"/>
      <c r="K19" s="447"/>
      <c r="L19" s="2122"/>
      <c r="M19" s="2122"/>
      <c r="N19" s="2122"/>
    </row>
    <row r="20" spans="1:14" s="2120" customFormat="1" ht="13.5" customHeight="1">
      <c r="A20" s="1634" t="s">
        <v>1856</v>
      </c>
      <c r="B20" s="458" t="s">
        <v>504</v>
      </c>
      <c r="C20" s="3031">
        <f>F20</f>
        <v>0.01</v>
      </c>
      <c r="D20" s="468" t="s">
        <v>505</v>
      </c>
      <c r="E20" s="468"/>
      <c r="F20" s="485">
        <f>'数据-取费表'!B38</f>
        <v>0.01</v>
      </c>
      <c r="G20" s="1326" t="s">
        <v>506</v>
      </c>
      <c r="H20" s="446"/>
      <c r="I20" s="446"/>
      <c r="J20" s="446"/>
      <c r="K20" s="447"/>
      <c r="L20" s="2122"/>
      <c r="M20" s="2122"/>
      <c r="N20" s="2122"/>
    </row>
    <row r="21" spans="1:14" s="2122" customFormat="1" ht="13.5" customHeight="1">
      <c r="A21" s="1634" t="s">
        <v>1859</v>
      </c>
      <c r="B21" s="460" t="s">
        <v>494</v>
      </c>
      <c r="C21" s="469">
        <f ca="1">C22</f>
        <v>104</v>
      </c>
      <c r="D21" s="466">
        <f ca="1">C23</f>
        <v>4.0000000000000002E-4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2457</v>
      </c>
    </row>
    <row r="22" spans="1:14" s="2121" customFormat="1" ht="13.5" customHeight="1">
      <c r="A22" s="1633" t="s">
        <v>1849</v>
      </c>
      <c r="B22" s="1327" t="s">
        <v>2438</v>
      </c>
      <c r="C22" s="486">
        <f ca="1">ROUND(IF('数据-取费表'!B22&lt;=1,(C18+C19)*F21*'数据-取费表'!B20/2,(C18+C19)*(POWER((1+F21),'数据-取费表'!B20/2)-1)),0)</f>
        <v>104</v>
      </c>
      <c r="D22" s="471"/>
      <c r="E22" s="472"/>
      <c r="F22" s="473"/>
      <c r="G22" s="2568" t="str">
        <f>IF('数据-取费表'!B22&lt;=1,"((1)+(2))×年利率×建设期÷2","((1)+(2))×((1+年利率)^(建设期÷2)-1)")</f>
        <v>((1)+(2))×((1+年利率)^(建设期÷2)-1)</v>
      </c>
      <c r="H22" s="456"/>
      <c r="I22" s="456"/>
      <c r="J22" s="456"/>
      <c r="K22" s="457"/>
    </row>
    <row r="23" spans="1:14" s="2121" customFormat="1" ht="13.5" customHeight="1">
      <c r="A23" s="1633" t="s">
        <v>1850</v>
      </c>
      <c r="B23" s="1327" t="s">
        <v>508</v>
      </c>
      <c r="C23" s="487">
        <f ca="1">ROUND(IF('数据-取费表'!B22&lt;=1,F20*F21*'数据-取费表'!B20/2,F20*(POWER((1+F21),'数据-取费表'!B20/2)-1)),4)</f>
        <v>4.0000000000000002E-4</v>
      </c>
      <c r="D23" s="471"/>
      <c r="E23" s="472"/>
      <c r="F23" s="473"/>
      <c r="G23" s="2568" t="str">
        <f>IF('数据-取费表'!B22&lt;=1,"销售费用率×年利率×建设期÷2","销售费用率×((1+年利率)^(建设期÷2)-1)")</f>
        <v>销售费用率×((1+年利率)^(建设期÷2)-1)</v>
      </c>
      <c r="H23" s="456"/>
      <c r="I23" s="456"/>
      <c r="J23" s="456"/>
      <c r="K23" s="457"/>
    </row>
    <row r="24" spans="1:14" s="2121" customFormat="1" ht="13.5" customHeight="1">
      <c r="A24" s="1634" t="s">
        <v>1860</v>
      </c>
      <c r="B24" s="3033" t="s">
        <v>2835</v>
      </c>
      <c r="C24" s="477">
        <f ca="1">C25</f>
        <v>236</v>
      </c>
      <c r="D24" s="488">
        <f ca="1">C26</f>
        <v>8.0000000000000004E-4</v>
      </c>
      <c r="E24" s="468" t="s">
        <v>507</v>
      </c>
      <c r="F24" s="478">
        <f ca="1">IF(B1="",'数据-取费表'!Q16,INDIRECT("'数据-取费表'!q"&amp;$K$1))</f>
        <v>0.08</v>
      </c>
      <c r="G24" s="443"/>
      <c r="H24" s="446"/>
      <c r="I24" s="446"/>
      <c r="J24" s="446"/>
      <c r="K24" s="447"/>
    </row>
    <row r="25" spans="1:14" s="2121" customFormat="1" ht="13.5" customHeight="1">
      <c r="A25" s="1633" t="s">
        <v>1849</v>
      </c>
      <c r="B25" s="1327" t="s">
        <v>2439</v>
      </c>
      <c r="C25" s="489">
        <f ca="1">ROUND((C18+C19)*F24,0)</f>
        <v>236</v>
      </c>
      <c r="D25" s="471"/>
      <c r="E25" s="472"/>
      <c r="F25" s="479"/>
      <c r="G25" s="1325" t="s">
        <v>2436</v>
      </c>
      <c r="H25" s="456"/>
      <c r="I25" s="456"/>
      <c r="J25" s="456"/>
      <c r="K25" s="457"/>
    </row>
    <row r="26" spans="1:14" s="2121" customFormat="1" ht="13.5" customHeight="1">
      <c r="A26" s="1633" t="s">
        <v>1850</v>
      </c>
      <c r="B26" s="1327" t="s">
        <v>509</v>
      </c>
      <c r="C26" s="490">
        <f ca="1">ROUND(F20*F24,4)</f>
        <v>8.0000000000000004E-4</v>
      </c>
      <c r="D26" s="471"/>
      <c r="E26" s="480"/>
      <c r="F26" s="479"/>
      <c r="G26" s="1325" t="s">
        <v>510</v>
      </c>
      <c r="H26" s="456"/>
      <c r="I26" s="456"/>
      <c r="J26" s="456"/>
      <c r="K26" s="457"/>
    </row>
    <row r="27" spans="1:14" s="2121" customFormat="1" ht="13.5" customHeight="1">
      <c r="A27" s="1637" t="s">
        <v>1868</v>
      </c>
      <c r="B27" s="458" t="s">
        <v>511</v>
      </c>
      <c r="C27" s="3032">
        <f>ROUND(F27/(1+'数据-取费表'!C42),4)</f>
        <v>5.33E-2</v>
      </c>
      <c r="D27" s="461" t="s">
        <v>2833</v>
      </c>
      <c r="E27" s="461"/>
      <c r="F27" s="465">
        <f>'数据-取费表'!B41</f>
        <v>5.6000000000000001E-2</v>
      </c>
      <c r="G27" s="1961" t="s">
        <v>2294</v>
      </c>
      <c r="H27" s="446"/>
      <c r="I27" s="446"/>
      <c r="J27" s="446"/>
      <c r="K27" s="447"/>
    </row>
    <row r="28" spans="1:14" s="2122" customFormat="1" ht="13.5" customHeight="1">
      <c r="A28" s="1637" t="s">
        <v>1869</v>
      </c>
      <c r="B28" s="475" t="s">
        <v>512</v>
      </c>
      <c r="C28" s="469">
        <f ca="1">ROUND((C18+C19+C21+C24)/(1-C20-D21-D24-C27),0)</f>
        <v>3515</v>
      </c>
      <c r="D28" s="476"/>
      <c r="E28" s="468"/>
      <c r="F28" s="470"/>
      <c r="G28" s="1326" t="s">
        <v>2437</v>
      </c>
      <c r="H28" s="446"/>
      <c r="I28" s="446"/>
      <c r="J28" s="446"/>
      <c r="K28" s="447"/>
    </row>
    <row r="29" spans="1:14" s="2122"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2" customFormat="1" ht="13.5" customHeight="1">
      <c r="A30" s="442">
        <v>2</v>
      </c>
      <c r="B30" s="475" t="s">
        <v>514</v>
      </c>
      <c r="C30" s="496">
        <f ca="1">ROUND(C28*C29,0)</f>
        <v>0</v>
      </c>
      <c r="D30" s="492"/>
      <c r="E30" s="497"/>
      <c r="F30" s="498"/>
      <c r="G30" s="1328" t="s">
        <v>515</v>
      </c>
      <c r="H30" s="495"/>
      <c r="I30" s="495"/>
      <c r="J30" s="446"/>
      <c r="K30" s="447"/>
    </row>
    <row r="31" spans="1:14" s="2127" customFormat="1" ht="13.5" customHeight="1">
      <c r="A31" s="2483" t="s">
        <v>1866</v>
      </c>
      <c r="B31" s="1329"/>
      <c r="C31" s="499">
        <f>ROUND(C6*F31/(1+'数据-取费表'!C42),0)</f>
        <v>0</v>
      </c>
      <c r="D31" s="1330"/>
      <c r="E31" s="1330"/>
      <c r="F31" s="500">
        <f>'数据-取费表'!B41</f>
        <v>5.6000000000000001E-2</v>
      </c>
      <c r="G31" s="1331"/>
      <c r="H31" s="1331"/>
      <c r="I31" s="1331"/>
      <c r="J31" s="1332"/>
      <c r="K31" s="1333"/>
    </row>
    <row r="32" spans="1:14" s="2086"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4"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521</v>
      </c>
      <c r="B6" s="512"/>
      <c r="C6" s="3393" t="s">
        <v>522</v>
      </c>
      <c r="D6" s="3394"/>
      <c r="E6" s="3417" t="s">
        <v>523</v>
      </c>
      <c r="F6" s="3418"/>
      <c r="G6" s="3393" t="s">
        <v>524</v>
      </c>
      <c r="H6" s="3394"/>
      <c r="I6" s="3393" t="s">
        <v>525</v>
      </c>
      <c r="J6" s="3394"/>
      <c r="K6" s="513" t="s">
        <v>526</v>
      </c>
      <c r="L6" s="2134"/>
      <c r="M6" s="2135"/>
      <c r="N6" s="2135"/>
      <c r="O6" s="2135"/>
      <c r="P6" s="3395" t="s">
        <v>527</v>
      </c>
      <c r="Q6" s="3396"/>
      <c r="R6" s="3381" t="s">
        <v>523</v>
      </c>
      <c r="S6" s="3382"/>
      <c r="T6" s="3381" t="s">
        <v>524</v>
      </c>
      <c r="U6" s="3382"/>
      <c r="V6" s="3401" t="s">
        <v>525</v>
      </c>
      <c r="W6" s="3401"/>
      <c r="X6" s="1567"/>
      <c r="Y6" s="3381" t="s">
        <v>527</v>
      </c>
      <c r="Z6" s="3382"/>
      <c r="AA6" s="3376" t="s">
        <v>523</v>
      </c>
      <c r="AB6" s="3377" t="s">
        <v>524</v>
      </c>
      <c r="AC6" s="3376" t="s">
        <v>525</v>
      </c>
    </row>
    <row r="7" spans="1:29" ht="15">
      <c r="A7" s="514"/>
      <c r="B7" s="515"/>
      <c r="C7" s="3421" t="s">
        <v>2929</v>
      </c>
      <c r="D7" s="3422"/>
      <c r="E7" s="3419" t="s">
        <v>2930</v>
      </c>
      <c r="F7" s="3420"/>
      <c r="G7" s="3421" t="s">
        <v>2931</v>
      </c>
      <c r="H7" s="3422"/>
      <c r="I7" s="3421" t="s">
        <v>2932</v>
      </c>
      <c r="J7" s="3422"/>
      <c r="K7" s="513"/>
      <c r="L7" s="2134"/>
      <c r="M7" s="2135"/>
      <c r="N7" s="2135"/>
      <c r="O7" s="2135"/>
      <c r="P7" s="3397"/>
      <c r="Q7" s="3398"/>
      <c r="R7" s="3383"/>
      <c r="S7" s="3384"/>
      <c r="T7" s="3383"/>
      <c r="U7" s="3384"/>
      <c r="V7" s="3401"/>
      <c r="W7" s="3401"/>
      <c r="X7" s="1567"/>
      <c r="Y7" s="3383"/>
      <c r="Z7" s="3384"/>
      <c r="AA7" s="3377"/>
      <c r="AB7" s="3377"/>
      <c r="AC7" s="3377"/>
    </row>
    <row r="8" spans="1:29" ht="15.75" thickBot="1">
      <c r="A8" s="516"/>
      <c r="B8" s="517"/>
      <c r="C8" s="3423" t="s">
        <v>2933</v>
      </c>
      <c r="D8" s="3424"/>
      <c r="E8" s="3425" t="s">
        <v>2933</v>
      </c>
      <c r="F8" s="3426"/>
      <c r="G8" s="3423" t="s">
        <v>2933</v>
      </c>
      <c r="H8" s="3424"/>
      <c r="I8" s="3423" t="s">
        <v>2933</v>
      </c>
      <c r="J8" s="3424"/>
      <c r="K8" s="513" t="s">
        <v>528</v>
      </c>
      <c r="L8" s="2134"/>
      <c r="M8" s="2135"/>
      <c r="N8" s="2135"/>
      <c r="O8" s="2135"/>
      <c r="P8" s="3399"/>
      <c r="Q8" s="3400"/>
      <c r="R8" s="3383"/>
      <c r="S8" s="3384"/>
      <c r="T8" s="3385"/>
      <c r="U8" s="3386"/>
      <c r="V8" s="3401"/>
      <c r="W8" s="3401"/>
      <c r="X8" s="1567"/>
      <c r="Y8" s="3385"/>
      <c r="Z8" s="3386"/>
      <c r="AA8" s="3378"/>
      <c r="AB8" s="3378"/>
      <c r="AC8" s="3378"/>
    </row>
    <row r="9" spans="1:29" s="1219" customFormat="1" ht="15.75" thickBot="1">
      <c r="A9" s="2913"/>
      <c r="B9" s="2920" t="s">
        <v>529</v>
      </c>
      <c r="C9" s="518">
        <f>'数据-取费表'!B2</f>
        <v>43316</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379" t="s">
        <v>530</v>
      </c>
      <c r="Q9" s="3388"/>
      <c r="R9" s="1568" t="s">
        <v>8</v>
      </c>
      <c r="S9" s="1569">
        <f t="shared" ref="S9:S17" si="0">F9</f>
        <v>0</v>
      </c>
      <c r="T9" s="1568" t="s">
        <v>8</v>
      </c>
      <c r="U9" s="1569">
        <f t="shared" ref="U9:U17" si="1">H9</f>
        <v>0</v>
      </c>
      <c r="V9" s="1568" t="s">
        <v>8</v>
      </c>
      <c r="W9" s="1569">
        <f t="shared" ref="W9:W17" si="2">J9</f>
        <v>0</v>
      </c>
      <c r="X9" s="1570"/>
      <c r="Y9" s="3379" t="s">
        <v>530</v>
      </c>
      <c r="Z9" s="3380"/>
      <c r="AA9" s="1571" t="e">
        <f>D9/F9</f>
        <v>#DIV/0!</v>
      </c>
      <c r="AB9" s="1571" t="e">
        <f>D9/H9</f>
        <v>#DIV/0!</v>
      </c>
      <c r="AC9" s="1571" t="e">
        <f>D9/J9</f>
        <v>#DIV/0!</v>
      </c>
    </row>
    <row r="10" spans="1:29" s="1219" customFormat="1" ht="15.75" thickBot="1">
      <c r="A10" s="2914"/>
      <c r="B10" s="292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379" t="s">
        <v>533</v>
      </c>
      <c r="Q10" s="3380"/>
      <c r="R10" s="1568" t="s">
        <v>8</v>
      </c>
      <c r="S10" s="1569">
        <f t="shared" si="0"/>
        <v>0</v>
      </c>
      <c r="T10" s="1568" t="s">
        <v>8</v>
      </c>
      <c r="U10" s="1569">
        <f t="shared" si="1"/>
        <v>0</v>
      </c>
      <c r="V10" s="1568" t="s">
        <v>8</v>
      </c>
      <c r="W10" s="1569">
        <f t="shared" si="2"/>
        <v>0</v>
      </c>
      <c r="X10" s="1570"/>
      <c r="Y10" s="3379" t="s">
        <v>533</v>
      </c>
      <c r="Z10" s="3380"/>
      <c r="AA10" s="1571" t="e">
        <f t="shared" ref="AA10:AA42" si="3">D10/F10</f>
        <v>#DIV/0!</v>
      </c>
      <c r="AB10" s="1571" t="e">
        <f t="shared" ref="AB10:AB42" si="4">D10/H10</f>
        <v>#DIV/0!</v>
      </c>
      <c r="AC10" s="1571" t="e">
        <f t="shared" ref="AC10:AC42" si="5">D10/J10</f>
        <v>#DIV/0!</v>
      </c>
    </row>
    <row r="11" spans="1:29" s="1219" customFormat="1" ht="15">
      <c r="A11" s="2915"/>
      <c r="B11" s="2922" t="s">
        <v>2759</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387" t="s">
        <v>535</v>
      </c>
      <c r="Q11" s="1150" t="str">
        <f t="shared" ref="Q11:Q17" si="6">B11</f>
        <v>用途</v>
      </c>
      <c r="R11" s="1568" t="s">
        <v>8</v>
      </c>
      <c r="S11" s="1569">
        <f t="shared" si="0"/>
        <v>100</v>
      </c>
      <c r="T11" s="1568" t="s">
        <v>8</v>
      </c>
      <c r="U11" s="1569">
        <f t="shared" si="1"/>
        <v>100</v>
      </c>
      <c r="V11" s="1568" t="s">
        <v>8</v>
      </c>
      <c r="W11" s="1569">
        <f t="shared" si="2"/>
        <v>100</v>
      </c>
      <c r="X11" s="1570"/>
      <c r="Y11" s="3344" t="s">
        <v>536</v>
      </c>
      <c r="Z11" s="1149" t="str">
        <f t="shared" ref="Z11:Z17" si="7">Q11</f>
        <v>用途</v>
      </c>
      <c r="AA11" s="1571">
        <f t="shared" si="3"/>
        <v>1</v>
      </c>
      <c r="AB11" s="1571">
        <f t="shared" si="4"/>
        <v>1</v>
      </c>
      <c r="AC11" s="1571">
        <f t="shared" si="5"/>
        <v>1</v>
      </c>
    </row>
    <row r="12" spans="1:29" s="1337" customFormat="1" ht="27">
      <c r="A12" s="2916"/>
      <c r="B12" s="2921" t="s">
        <v>2760</v>
      </c>
      <c r="C12" s="527"/>
      <c r="D12" s="254">
        <v>100</v>
      </c>
      <c r="E12" s="527"/>
      <c r="F12" s="254">
        <f>ROUND(100/'数据-取费表'!G16,0)</f>
        <v>111</v>
      </c>
      <c r="G12" s="527"/>
      <c r="H12" s="254">
        <f>ROUND(100/'数据-取费表'!G16,0)</f>
        <v>111</v>
      </c>
      <c r="I12" s="527"/>
      <c r="J12" s="254">
        <f>ROUND(100/'数据-取费表'!G16,0)</f>
        <v>111</v>
      </c>
      <c r="K12" s="530"/>
      <c r="L12" s="2139"/>
      <c r="M12" s="2179"/>
      <c r="N12" s="2179"/>
      <c r="O12" s="2140"/>
      <c r="P12" s="3387"/>
      <c r="Q12" s="1150" t="str">
        <f t="shared" si="6"/>
        <v>土地使用年限（年）</v>
      </c>
      <c r="R12" s="1568" t="s">
        <v>8</v>
      </c>
      <c r="S12" s="1569">
        <f t="shared" si="0"/>
        <v>111</v>
      </c>
      <c r="T12" s="1568" t="s">
        <v>8</v>
      </c>
      <c r="U12" s="1569">
        <f t="shared" si="1"/>
        <v>111</v>
      </c>
      <c r="V12" s="1568" t="s">
        <v>8</v>
      </c>
      <c r="W12" s="1569">
        <f t="shared" si="2"/>
        <v>111</v>
      </c>
      <c r="X12" s="1570"/>
      <c r="Y12" s="3344"/>
      <c r="Z12" s="1149" t="str">
        <f t="shared" si="7"/>
        <v>土地使用年限（年）</v>
      </c>
      <c r="AA12" s="1571">
        <f t="shared" si="3"/>
        <v>0.90090090090090091</v>
      </c>
      <c r="AB12" s="1571">
        <f t="shared" si="4"/>
        <v>0.90090090090090091</v>
      </c>
      <c r="AC12" s="1571">
        <f t="shared" si="5"/>
        <v>0.90090090090090091</v>
      </c>
    </row>
    <row r="13" spans="1:29" ht="15">
      <c r="A13" s="2917"/>
      <c r="B13" s="2921"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387"/>
      <c r="Q13" s="1150" t="str">
        <f t="shared" si="6"/>
        <v>容积率</v>
      </c>
      <c r="R13" s="1568" t="s">
        <v>8</v>
      </c>
      <c r="S13" s="1569" t="e">
        <f t="shared" si="0"/>
        <v>#N/A</v>
      </c>
      <c r="T13" s="1568" t="s">
        <v>8</v>
      </c>
      <c r="U13" s="1569" t="e">
        <f t="shared" si="1"/>
        <v>#N/A</v>
      </c>
      <c r="V13" s="1568" t="s">
        <v>8</v>
      </c>
      <c r="W13" s="1569" t="e">
        <f t="shared" si="2"/>
        <v>#N/A</v>
      </c>
      <c r="X13" s="1570"/>
      <c r="Y13" s="3344"/>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387"/>
      <c r="Q15" s="1150">
        <f t="shared" si="6"/>
        <v>111</v>
      </c>
      <c r="R15" s="1568" t="s">
        <v>8</v>
      </c>
      <c r="S15" s="1569">
        <f t="shared" si="0"/>
        <v>100</v>
      </c>
      <c r="T15" s="1568" t="s">
        <v>8</v>
      </c>
      <c r="U15" s="1569">
        <f t="shared" si="1"/>
        <v>100</v>
      </c>
      <c r="V15" s="1568" t="s">
        <v>8</v>
      </c>
      <c r="W15" s="1569">
        <f t="shared" si="2"/>
        <v>100</v>
      </c>
      <c r="X15" s="1570"/>
      <c r="Y15" s="3344"/>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387"/>
      <c r="Q16" s="1150">
        <f t="shared" si="6"/>
        <v>111</v>
      </c>
      <c r="R16" s="1568" t="s">
        <v>8</v>
      </c>
      <c r="S16" s="1569">
        <f t="shared" si="0"/>
        <v>100</v>
      </c>
      <c r="T16" s="1568" t="s">
        <v>8</v>
      </c>
      <c r="U16" s="1569">
        <f t="shared" si="1"/>
        <v>100</v>
      </c>
      <c r="V16" s="1568" t="s">
        <v>8</v>
      </c>
      <c r="W16" s="1569">
        <f t="shared" si="2"/>
        <v>100</v>
      </c>
      <c r="X16" s="1570"/>
      <c r="Y16" s="3344"/>
      <c r="Z16" s="1149">
        <f t="shared" si="7"/>
        <v>111</v>
      </c>
      <c r="AA16" s="1571">
        <f t="shared" si="3"/>
        <v>1</v>
      </c>
      <c r="AB16" s="1571">
        <f t="shared" si="4"/>
        <v>1</v>
      </c>
      <c r="AC16" s="1571">
        <f t="shared" si="5"/>
        <v>1</v>
      </c>
    </row>
    <row r="17" spans="1:29" ht="57">
      <c r="A17" s="2911" t="s">
        <v>2757</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389" t="s">
        <v>540</v>
      </c>
      <c r="Q17" s="1572" t="str">
        <f t="shared" si="6"/>
        <v>产业集聚程度</v>
      </c>
      <c r="R17" s="1573" t="s">
        <v>8</v>
      </c>
      <c r="S17" s="1574">
        <f t="shared" si="0"/>
        <v>100</v>
      </c>
      <c r="T17" s="1573" t="s">
        <v>8</v>
      </c>
      <c r="U17" s="1574">
        <f t="shared" si="1"/>
        <v>100</v>
      </c>
      <c r="V17" s="1573" t="s">
        <v>8</v>
      </c>
      <c r="W17" s="1574">
        <f t="shared" si="2"/>
        <v>100</v>
      </c>
      <c r="X17" s="1567"/>
      <c r="Y17" s="3389"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390"/>
      <c r="Q18" s="1572"/>
      <c r="R18" s="1573"/>
      <c r="S18" s="1574"/>
      <c r="T18" s="1573"/>
      <c r="U18" s="1574"/>
      <c r="V18" s="1573"/>
      <c r="W18" s="1574"/>
      <c r="X18" s="1567"/>
      <c r="Y18" s="3390"/>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390"/>
      <c r="Q22" s="1572"/>
      <c r="R22" s="1573"/>
      <c r="S22" s="1574"/>
      <c r="T22" s="1573"/>
      <c r="U22" s="1574"/>
      <c r="V22" s="1573"/>
      <c r="W22" s="1574"/>
      <c r="X22" s="1567"/>
      <c r="Y22" s="3390"/>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390"/>
      <c r="Q24" s="1572"/>
      <c r="R24" s="1573"/>
      <c r="S24" s="1574"/>
      <c r="T24" s="1573"/>
      <c r="U24" s="1574"/>
      <c r="V24" s="1573"/>
      <c r="W24" s="1574"/>
      <c r="X24" s="1567"/>
      <c r="Y24" s="3390"/>
      <c r="Z24" s="1575"/>
      <c r="AA24" s="1576">
        <v>1</v>
      </c>
      <c r="AB24" s="1576">
        <v>1</v>
      </c>
      <c r="AC24" s="1576">
        <v>1</v>
      </c>
    </row>
    <row r="25" spans="1:29" s="1219" customFormat="1" ht="42.75">
      <c r="A25" s="576"/>
      <c r="B25" s="2594"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390"/>
      <c r="Q25" s="1150" t="str">
        <f t="shared" si="8"/>
        <v>公共配套设施</v>
      </c>
      <c r="R25" s="1568" t="s">
        <v>8</v>
      </c>
      <c r="S25" s="1569">
        <f>F25</f>
        <v>100</v>
      </c>
      <c r="T25" s="1568" t="s">
        <v>8</v>
      </c>
      <c r="U25" s="1569">
        <f>H25</f>
        <v>100</v>
      </c>
      <c r="V25" s="1568" t="s">
        <v>8</v>
      </c>
      <c r="W25" s="1569">
        <f>J25</f>
        <v>100</v>
      </c>
      <c r="X25" s="1570"/>
      <c r="Y25" s="3390"/>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390"/>
      <c r="Q26" s="1150"/>
      <c r="R26" s="1568"/>
      <c r="S26" s="1569"/>
      <c r="T26" s="1568"/>
      <c r="U26" s="1569"/>
      <c r="V26" s="1568"/>
      <c r="W26" s="1569"/>
      <c r="X26" s="1570"/>
      <c r="Y26" s="3390"/>
      <c r="Z26" s="1149"/>
      <c r="AA26" s="1571">
        <v>1</v>
      </c>
      <c r="AB26" s="1571">
        <v>1</v>
      </c>
      <c r="AC26" s="1571">
        <v>1</v>
      </c>
    </row>
    <row r="27" spans="1:29" s="1219" customFormat="1" ht="28.5">
      <c r="A27" s="576"/>
      <c r="B27" s="2594"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390"/>
      <c r="Q27" s="2579" t="str">
        <f t="shared" ref="Q27" si="9">B27</f>
        <v>基础设施水平</v>
      </c>
      <c r="R27" s="1568" t="s">
        <v>8</v>
      </c>
      <c r="S27" s="1569">
        <f>F27</f>
        <v>100</v>
      </c>
      <c r="T27" s="1568" t="s">
        <v>8</v>
      </c>
      <c r="U27" s="1569">
        <f>H27</f>
        <v>100</v>
      </c>
      <c r="V27" s="1568" t="s">
        <v>8</v>
      </c>
      <c r="W27" s="1569">
        <f>J27</f>
        <v>100</v>
      </c>
      <c r="X27" s="1570"/>
      <c r="Y27" s="3390"/>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390"/>
      <c r="Q28" s="2579"/>
      <c r="R28" s="1568"/>
      <c r="S28" s="1569"/>
      <c r="T28" s="1568"/>
      <c r="U28" s="1569"/>
      <c r="V28" s="1568"/>
      <c r="W28" s="1569"/>
      <c r="X28" s="1570"/>
      <c r="Y28" s="3390"/>
      <c r="Z28" s="2576"/>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1"/>
      <c r="B30" s="921" t="s">
        <v>548</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390"/>
      <c r="Q31" s="1572"/>
      <c r="R31" s="1573"/>
      <c r="S31" s="1574"/>
      <c r="T31" s="1573"/>
      <c r="U31" s="1574"/>
      <c r="V31" s="1573"/>
      <c r="W31" s="1574"/>
      <c r="X31" s="1567"/>
      <c r="Y31" s="3390"/>
      <c r="Z31" s="1575"/>
      <c r="AA31" s="1576">
        <v>1</v>
      </c>
      <c r="AB31" s="1576">
        <v>1</v>
      </c>
      <c r="AC31" s="1576">
        <v>1</v>
      </c>
    </row>
    <row r="32" spans="1:29" ht="15">
      <c r="A32" s="531"/>
      <c r="B32" s="526" t="s">
        <v>549</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391" t="s">
        <v>550</v>
      </c>
      <c r="Q34" s="1572">
        <f t="shared" si="8"/>
        <v>111</v>
      </c>
      <c r="R34" s="1573" t="s">
        <v>8</v>
      </c>
      <c r="S34" s="1574">
        <f t="shared" si="10"/>
        <v>100</v>
      </c>
      <c r="T34" s="1573" t="s">
        <v>8</v>
      </c>
      <c r="U34" s="1574">
        <f t="shared" si="11"/>
        <v>100</v>
      </c>
      <c r="V34" s="1573" t="s">
        <v>8</v>
      </c>
      <c r="W34" s="1574">
        <f t="shared" si="12"/>
        <v>100</v>
      </c>
      <c r="X34" s="1567"/>
      <c r="Y34" s="3392" t="s">
        <v>550</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908"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392"/>
      <c r="Q36" s="1572" t="str">
        <f>B36</f>
        <v>宗地面积</v>
      </c>
      <c r="R36" s="1573" t="s">
        <v>8</v>
      </c>
      <c r="S36" s="1574" t="e">
        <f t="shared" si="10"/>
        <v>#N/A</v>
      </c>
      <c r="T36" s="1573" t="s">
        <v>8</v>
      </c>
      <c r="U36" s="1574" t="e">
        <f t="shared" si="11"/>
        <v>#N/A</v>
      </c>
      <c r="V36" s="1573" t="s">
        <v>8</v>
      </c>
      <c r="W36" s="1574" t="e">
        <f t="shared" si="12"/>
        <v>#N/A</v>
      </c>
      <c r="X36" s="1567"/>
      <c r="Y36" s="3392"/>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19" customFormat="1" ht="15">
      <c r="A38" s="599"/>
      <c r="B38" s="1896"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92" t="s">
        <v>601</v>
      </c>
      <c r="Q39" s="1572" t="str">
        <f t="shared" si="14"/>
        <v>工程地质条件</v>
      </c>
      <c r="R39" s="1573" t="s">
        <v>8</v>
      </c>
      <c r="S39" s="1574">
        <f t="shared" si="10"/>
        <v>100</v>
      </c>
      <c r="T39" s="1573" t="s">
        <v>8</v>
      </c>
      <c r="U39" s="1574">
        <f t="shared" si="11"/>
        <v>100</v>
      </c>
      <c r="V39" s="1573" t="s">
        <v>8</v>
      </c>
      <c r="W39" s="1574">
        <f t="shared" si="12"/>
        <v>100</v>
      </c>
      <c r="X39" s="1567"/>
      <c r="Y39" s="3392"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6" t="s">
        <v>556</v>
      </c>
      <c r="B43" s="607" t="s">
        <v>2934</v>
      </c>
      <c r="C43" s="608" t="s">
        <v>1</v>
      </c>
      <c r="D43" s="609"/>
      <c r="E43" s="610"/>
      <c r="F43" s="611"/>
      <c r="G43" s="612"/>
      <c r="H43" s="613"/>
      <c r="I43" s="610"/>
      <c r="J43" s="613"/>
      <c r="K43" s="1339"/>
      <c r="L43" s="2145"/>
      <c r="M43" s="2135"/>
      <c r="N43" s="2135"/>
      <c r="O43" s="2146"/>
      <c r="P43" s="3387" t="str">
        <f>A43</f>
        <v>成交单价</v>
      </c>
      <c r="Q43" s="3387"/>
      <c r="R43" s="3401">
        <f>E43</f>
        <v>0</v>
      </c>
      <c r="S43" s="3401"/>
      <c r="T43" s="3401">
        <f>G43</f>
        <v>0</v>
      </c>
      <c r="U43" s="3401"/>
      <c r="V43" s="3401">
        <f>I43</f>
        <v>0</v>
      </c>
      <c r="W43" s="3401"/>
      <c r="X43" s="1559"/>
      <c r="Y43" s="1581"/>
      <c r="Z43" s="1559"/>
      <c r="AA43" s="1559"/>
      <c r="AB43" s="1559"/>
      <c r="AC43" s="1559"/>
    </row>
    <row r="44" spans="1:29" ht="15.75" thickBot="1">
      <c r="A44" s="614" t="s">
        <v>2696</v>
      </c>
      <c r="B44" s="615"/>
      <c r="C44" s="616" t="e">
        <f>R45</f>
        <v>#DIV/0!</v>
      </c>
      <c r="D44" s="617"/>
      <c r="E44" s="616" t="e">
        <f>R44</f>
        <v>#DIV/0!</v>
      </c>
      <c r="F44" s="618"/>
      <c r="G44" s="619" t="e">
        <f>T44</f>
        <v>#DIV/0!</v>
      </c>
      <c r="H44" s="617"/>
      <c r="I44" s="616" t="e">
        <f>V44</f>
        <v>#DIV/0!</v>
      </c>
      <c r="J44" s="617"/>
      <c r="K44" s="1340"/>
      <c r="L44" s="2145"/>
      <c r="M44" s="2135"/>
      <c r="N44" s="2135"/>
      <c r="O44" s="2146"/>
      <c r="P44" s="3387" t="str">
        <f>A44</f>
        <v>比较价格（元/平方米）</v>
      </c>
      <c r="Q44" s="3387"/>
      <c r="R44" s="3411" t="e">
        <f>ROUND(PRODUCT(R43,AA9:AA42),0)</f>
        <v>#DIV/0!</v>
      </c>
      <c r="S44" s="3411"/>
      <c r="T44" s="3411" t="e">
        <f>ROUND(PRODUCT(T43,AB9:AB42),0)</f>
        <v>#DIV/0!</v>
      </c>
      <c r="U44" s="3411"/>
      <c r="V44" s="3411" t="e">
        <f>ROUND(PRODUCT(V43,AC9:AC42),0)</f>
        <v>#DIV/0!</v>
      </c>
      <c r="W44" s="3411"/>
      <c r="X44" s="1559"/>
      <c r="Y44" s="1559"/>
      <c r="Z44" s="1559"/>
      <c r="AA44" s="1559"/>
      <c r="AB44" s="1559"/>
      <c r="AC44" s="1559"/>
    </row>
    <row r="45" spans="1:29" ht="15.75" thickBot="1">
      <c r="A45" s="620" t="s">
        <v>2935</v>
      </c>
      <c r="B45" s="621"/>
      <c r="C45" s="622" t="e">
        <f>R45</f>
        <v>#DIV/0!</v>
      </c>
      <c r="D45" s="622"/>
      <c r="E45" s="622"/>
      <c r="F45" s="622"/>
      <c r="G45" s="622"/>
      <c r="H45" s="622"/>
      <c r="I45" s="622"/>
      <c r="J45" s="622"/>
      <c r="K45" s="1341"/>
      <c r="L45" s="2145"/>
      <c r="M45" s="2135"/>
      <c r="N45" s="2135"/>
      <c r="O45" s="2146"/>
      <c r="P45" s="3408" t="str">
        <f>A45</f>
        <v>估价对象XX用房的比较价格（楼面单价，元/平方米）</v>
      </c>
      <c r="Q45" s="3409"/>
      <c r="R45" s="3410" t="e">
        <f>ROUND(AVERAGE(R44:V44),0)</f>
        <v>#DIV/0!</v>
      </c>
      <c r="S45" s="3410"/>
      <c r="T45" s="3410"/>
      <c r="U45" s="3410"/>
      <c r="V45" s="3410"/>
      <c r="W45" s="341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560</v>
      </c>
      <c r="B52" s="629" t="s">
        <v>561</v>
      </c>
      <c r="C52" s="1560" t="s">
        <v>1725</v>
      </c>
      <c r="D52" s="2228" t="s">
        <v>2296</v>
      </c>
      <c r="E52" s="630" t="s">
        <v>562</v>
      </c>
      <c r="F52" s="1952" t="s">
        <v>563</v>
      </c>
      <c r="G52" s="3412" t="s">
        <v>2287</v>
      </c>
      <c r="H52" s="3413"/>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564</v>
      </c>
      <c r="B53" s="633" t="e">
        <f>C45</f>
        <v>#DIV/0!</v>
      </c>
      <c r="C53" s="634">
        <v>1</v>
      </c>
      <c r="D53" s="2229">
        <v>1</v>
      </c>
      <c r="E53" s="634">
        <f>'数据-汇总表'!E8+'数据-汇总表'!E9</f>
        <v>6222</v>
      </c>
      <c r="F53" s="1951" t="e">
        <f t="shared" ref="F53:F62" si="15">ROUND(B53*E53/10000,0)</f>
        <v>#DIV/0!</v>
      </c>
      <c r="G53" s="3414"/>
      <c r="H53" s="341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565</v>
      </c>
      <c r="B54" s="637" t="e">
        <f>ROUND($C$45*C54*D54,0)</f>
        <v>#DIV/0!</v>
      </c>
      <c r="C54" s="377">
        <f t="shared" ref="C54:C62" si="16">IF($C$52="北京市系数",I54,J54)</f>
        <v>0</v>
      </c>
      <c r="D54" s="2230">
        <v>0.25</v>
      </c>
      <c r="E54" s="638"/>
      <c r="F54" s="1951" t="e">
        <f t="shared" si="15"/>
        <v>#DIV/0!</v>
      </c>
      <c r="G54" s="3416"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566</v>
      </c>
      <c r="B55" s="637" t="e">
        <f t="shared" ref="B55:B62" si="17">ROUND($C$45*C55*D55,0)</f>
        <v>#DIV/0!</v>
      </c>
      <c r="C55" s="377">
        <f t="shared" si="16"/>
        <v>0</v>
      </c>
      <c r="D55" s="2230">
        <v>0.25</v>
      </c>
      <c r="E55" s="638"/>
      <c r="F55" s="1951" t="e">
        <f t="shared" si="15"/>
        <v>#DIV/0!</v>
      </c>
      <c r="G55" s="341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567</v>
      </c>
      <c r="B56" s="637" t="e">
        <f t="shared" si="17"/>
        <v>#DIV/0!</v>
      </c>
      <c r="C56" s="377">
        <f t="shared" si="16"/>
        <v>0</v>
      </c>
      <c r="D56" s="2230">
        <v>0.25</v>
      </c>
      <c r="E56" s="638"/>
      <c r="F56" s="1951" t="e">
        <f t="shared" si="15"/>
        <v>#DIV/0!</v>
      </c>
      <c r="G56" s="341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568</v>
      </c>
      <c r="B57" s="637" t="e">
        <f t="shared" si="17"/>
        <v>#DIV/0!</v>
      </c>
      <c r="C57" s="377">
        <f t="shared" si="16"/>
        <v>0</v>
      </c>
      <c r="D57" s="2230">
        <v>0.25</v>
      </c>
      <c r="E57" s="638"/>
      <c r="F57" s="1951" t="e">
        <f t="shared" si="15"/>
        <v>#DIV/0!</v>
      </c>
      <c r="G57" s="341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7" t="e">
        <f t="shared" si="17"/>
        <v>#DIV/0!</v>
      </c>
      <c r="C58" s="377">
        <f t="shared" si="16"/>
        <v>0</v>
      </c>
      <c r="D58" s="2230">
        <v>0.25</v>
      </c>
      <c r="E58" s="640">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569</v>
      </c>
      <c r="B59" s="637" t="e">
        <f t="shared" si="17"/>
        <v>#DIV/0!</v>
      </c>
      <c r="C59" s="377">
        <f t="shared" si="16"/>
        <v>0</v>
      </c>
      <c r="D59" s="2230">
        <v>0.25</v>
      </c>
      <c r="E59" s="640">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570</v>
      </c>
      <c r="B60" s="637" t="e">
        <f t="shared" si="17"/>
        <v>#DIV/0!</v>
      </c>
      <c r="C60" s="377">
        <f t="shared" si="16"/>
        <v>0</v>
      </c>
      <c r="D60" s="2230">
        <v>0.25</v>
      </c>
      <c r="E60" s="640">
        <f>'数据-汇总表'!E13</f>
        <v>2251</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571</v>
      </c>
      <c r="B61" s="637" t="e">
        <f t="shared" si="17"/>
        <v>#DIV/0!</v>
      </c>
      <c r="C61" s="377">
        <f t="shared" si="16"/>
        <v>0</v>
      </c>
      <c r="D61" s="2230">
        <v>0.25</v>
      </c>
      <c r="E61" s="640">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572</v>
      </c>
      <c r="B62" s="637" t="e">
        <f t="shared" si="17"/>
        <v>#DIV/0!</v>
      </c>
      <c r="C62" s="377">
        <f t="shared" si="16"/>
        <v>0</v>
      </c>
      <c r="D62" s="2230">
        <v>0.25</v>
      </c>
      <c r="E62" s="640">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573</v>
      </c>
      <c r="B63" s="642" t="s">
        <v>17</v>
      </c>
      <c r="C63" s="642" t="s">
        <v>18</v>
      </c>
      <c r="D63" s="642" t="s">
        <v>2297</v>
      </c>
      <c r="E63" s="642">
        <f>IF(B43="楼面地价",SUM(E53:E62),'数据-汇总表'!D3)</f>
        <v>2708.59</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2536</v>
      </c>
      <c r="B67" s="645"/>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2652</v>
      </c>
      <c r="B68" s="478" t="str">
        <f>"北京市平均增长率"&amp;TEXT(基准地价!P24,"0.00%")</f>
        <v>北京市平均增长率1.41%</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575</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531</v>
      </c>
      <c r="B70" s="647"/>
      <c r="C70" s="659" t="s">
        <v>576</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577</v>
      </c>
      <c r="B72" s="664" t="s">
        <v>534</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537</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539</v>
      </c>
      <c r="B85" s="664" t="s">
        <v>602</v>
      </c>
      <c r="C85" s="702" t="s">
        <v>579</v>
      </c>
      <c r="D85" s="702" t="s">
        <v>580</v>
      </c>
      <c r="E85" s="702" t="s">
        <v>581</v>
      </c>
      <c r="F85" s="702" t="s">
        <v>582</v>
      </c>
      <c r="G85" s="702" t="s">
        <v>583</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586</v>
      </c>
      <c r="C87" s="707" t="s">
        <v>579</v>
      </c>
      <c r="D87" s="707" t="s">
        <v>580</v>
      </c>
      <c r="E87" s="707" t="s">
        <v>581</v>
      </c>
      <c r="F87" s="707" t="s">
        <v>582</v>
      </c>
      <c r="G87" s="707" t="s">
        <v>583</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2551</v>
      </c>
      <c r="C93" s="702" t="s">
        <v>579</v>
      </c>
      <c r="D93" s="702" t="s">
        <v>580</v>
      </c>
      <c r="E93" s="702" t="s">
        <v>581</v>
      </c>
      <c r="F93" s="702" t="s">
        <v>582</v>
      </c>
      <c r="G93" s="702" t="s">
        <v>583</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2553</v>
      </c>
      <c r="C95" s="2599" t="s">
        <v>2554</v>
      </c>
      <c r="D95" s="2599" t="s">
        <v>2555</v>
      </c>
      <c r="E95" s="2599" t="s">
        <v>2556</v>
      </c>
      <c r="F95" s="2599" t="s">
        <v>2557</v>
      </c>
      <c r="G95" s="2599" t="s">
        <v>2558</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589</v>
      </c>
      <c r="D97" s="673" t="s">
        <v>590</v>
      </c>
      <c r="E97" s="673" t="s">
        <v>591</v>
      </c>
      <c r="F97" s="673" t="s">
        <v>592</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548</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549</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594</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2428</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596</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2.4700000000000002</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19">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28"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2.4700000000000002</v>
      </c>
      <c r="AA7" s="2193"/>
      <c r="AB7" s="2193"/>
      <c r="AC7" s="2194"/>
      <c r="AD7" s="2930"/>
      <c r="AE7" s="2930"/>
      <c r="AF7" s="2930"/>
      <c r="AG7" s="2930"/>
      <c r="AH7" s="2930"/>
      <c r="AI7" s="2930"/>
      <c r="AJ7" s="2931"/>
    </row>
    <row r="8" spans="1:39" ht="15">
      <c r="A8" s="3429"/>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38" t="s">
        <v>2786</v>
      </c>
      <c r="X8" s="3439"/>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29"/>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37" t="s">
        <v>2782</v>
      </c>
      <c r="X9" s="2932" t="s">
        <v>2783</v>
      </c>
      <c r="Y9" s="3097"/>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9"/>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3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9"/>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37" t="s">
        <v>2784</v>
      </c>
      <c r="X11" s="1047" t="s">
        <v>2769</v>
      </c>
      <c r="Y11" s="1653">
        <f>$G$3</f>
        <v>2.4700000000000002</v>
      </c>
      <c r="Z11" s="1653">
        <f t="shared" ref="Z11:AJ11" si="3">$G$3</f>
        <v>2.4700000000000002</v>
      </c>
      <c r="AA11" s="1653">
        <f t="shared" si="3"/>
        <v>2.4700000000000002</v>
      </c>
      <c r="AB11" s="1653">
        <f t="shared" si="3"/>
        <v>2.4700000000000002</v>
      </c>
      <c r="AC11" s="1653">
        <f t="shared" si="3"/>
        <v>2.4700000000000002</v>
      </c>
      <c r="AD11" s="1653">
        <f t="shared" si="3"/>
        <v>2.4700000000000002</v>
      </c>
      <c r="AE11" s="1653">
        <f t="shared" si="3"/>
        <v>2.4700000000000002</v>
      </c>
      <c r="AF11" s="1653">
        <f t="shared" si="3"/>
        <v>2.4700000000000002</v>
      </c>
      <c r="AG11" s="1653">
        <f t="shared" si="3"/>
        <v>2.4700000000000002</v>
      </c>
      <c r="AH11" s="1653">
        <f t="shared" si="3"/>
        <v>2.4700000000000002</v>
      </c>
      <c r="AI11" s="1653">
        <f t="shared" si="3"/>
        <v>2.4700000000000002</v>
      </c>
      <c r="AJ11" s="1653">
        <f t="shared" si="3"/>
        <v>2.4700000000000002</v>
      </c>
    </row>
    <row r="12" spans="1:39" ht="25.5" thickBot="1">
      <c r="A12" s="3428"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37"/>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0"/>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37"/>
      <c r="X13" s="2935"/>
      <c r="Y13" s="2934">
        <f>(-0.163*(Y12^2)-0.59*Y12+7617)*(10^(-4))/Y11</f>
        <v>0.3083805668016194</v>
      </c>
      <c r="Z13" s="2934">
        <f t="shared" ref="Z13:AJ13" si="5">(-0.163*(Z12^2)-0.59*Z12+7617)*(10^(-4))/Z11</f>
        <v>0.3083805668016194</v>
      </c>
      <c r="AA13" s="2934">
        <f t="shared" si="5"/>
        <v>0.3083805668016194</v>
      </c>
      <c r="AB13" s="2934">
        <f t="shared" si="5"/>
        <v>0.3083805668016194</v>
      </c>
      <c r="AC13" s="2934">
        <f t="shared" si="5"/>
        <v>0.3083805668016194</v>
      </c>
      <c r="AD13" s="2934">
        <f t="shared" si="5"/>
        <v>0.3083805668016194</v>
      </c>
      <c r="AE13" s="2934">
        <f t="shared" si="5"/>
        <v>0.3083805668016194</v>
      </c>
      <c r="AF13" s="2934">
        <f t="shared" si="5"/>
        <v>0.3083805668016194</v>
      </c>
      <c r="AG13" s="2934">
        <f t="shared" si="5"/>
        <v>0.3083805668016194</v>
      </c>
      <c r="AH13" s="2934">
        <f t="shared" si="5"/>
        <v>0.3083805668016194</v>
      </c>
      <c r="AI13" s="2934">
        <f t="shared" si="5"/>
        <v>0.3083805668016194</v>
      </c>
      <c r="AJ13" s="2934">
        <f t="shared" si="5"/>
        <v>0.3083805668016194</v>
      </c>
    </row>
    <row r="14" spans="1:39" ht="12.75" customHeight="1" thickBot="1">
      <c r="A14" s="3430"/>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31"/>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28"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29"/>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43316</v>
      </c>
      <c r="H19" s="1475" t="s">
        <v>2937</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4">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2.4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34"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1021</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1022</v>
      </c>
      <c r="B48" s="2409" t="str">
        <f>估价对象房地状况!C18</f>
        <v>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6" t="s">
        <v>2939</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t="str">
        <f>估价对象房地状况!C24</f>
        <v>支路</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5" t="s">
        <v>2938</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六通</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t="str">
        <f>估价对象房地状况!C20</f>
        <v>较好</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1031</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1022</v>
      </c>
      <c r="B59" s="2409" t="str">
        <f>估价对象房地状况!C18</f>
        <v>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6" t="s">
        <v>2940</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t="str">
        <f>估价对象房地状况!C24</f>
        <v>支路</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5" t="s">
        <v>2938</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较好</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六通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t="str">
        <f>估价对象房地状况!C20</f>
        <v>较好</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1033</v>
      </c>
      <c r="B69" s="2412" t="str">
        <f>估价对象房地状况!C15</f>
        <v>较好</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1034</v>
      </c>
      <c r="B70" s="2409" t="str">
        <f>估价对象房地状况!C18</f>
        <v>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t="str">
        <f>估价对象房地状况!C24</f>
        <v>支路</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较好</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六通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5" t="s">
        <v>2938</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1029</v>
      </c>
      <c r="B76" s="2412" t="str">
        <f>估价对象房地状况!C20</f>
        <v>较好</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5" t="s">
        <v>2938</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32" t="s">
        <v>1634</v>
      </c>
      <c r="B90" s="3432"/>
      <c r="C90" s="3432"/>
      <c r="D90" s="3432"/>
      <c r="E90" s="3432"/>
      <c r="F90" s="3432"/>
      <c r="G90" s="3432"/>
      <c r="H90" s="3432"/>
      <c r="I90" s="3432"/>
      <c r="J90" s="3432"/>
      <c r="K90" s="2451"/>
      <c r="L90" s="2451"/>
      <c r="M90" s="2451"/>
      <c r="N90" s="2451"/>
    </row>
    <row r="91" spans="1:40">
      <c r="A91" s="3433" t="s">
        <v>1444</v>
      </c>
      <c r="B91" s="3433" t="s">
        <v>1635</v>
      </c>
      <c r="C91" s="1139" t="s">
        <v>1636</v>
      </c>
      <c r="D91" s="1140"/>
      <c r="E91" s="1140"/>
      <c r="F91" s="1140"/>
      <c r="G91" s="1140"/>
      <c r="H91" s="1140"/>
      <c r="I91" s="1140"/>
      <c r="J91" s="1141"/>
      <c r="K91" s="1133"/>
      <c r="L91" s="1133"/>
      <c r="M91" s="1133"/>
      <c r="N91" s="1133"/>
    </row>
    <row r="92" spans="1:40">
      <c r="A92" s="3433"/>
      <c r="B92" s="3433"/>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40"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0" t="s">
        <v>1638</v>
      </c>
      <c r="B101" s="1146" t="s">
        <v>906</v>
      </c>
      <c r="C101" s="1147">
        <f>$G$3</f>
        <v>2.4700000000000002</v>
      </c>
      <c r="D101" s="1147">
        <f t="shared" ref="D101:N101" si="31">$G$3</f>
        <v>2.4700000000000002</v>
      </c>
      <c r="E101" s="1147">
        <f t="shared" si="31"/>
        <v>2.4700000000000002</v>
      </c>
      <c r="F101" s="1147">
        <f t="shared" si="31"/>
        <v>2.4700000000000002</v>
      </c>
      <c r="G101" s="1147">
        <f t="shared" si="31"/>
        <v>2.4700000000000002</v>
      </c>
      <c r="H101" s="1147">
        <f t="shared" si="31"/>
        <v>2.4700000000000002</v>
      </c>
      <c r="I101" s="1147">
        <f t="shared" si="31"/>
        <v>2.4700000000000002</v>
      </c>
      <c r="J101" s="1147">
        <f t="shared" si="31"/>
        <v>2.4700000000000002</v>
      </c>
      <c r="K101" s="1147">
        <f t="shared" si="31"/>
        <v>2.4700000000000002</v>
      </c>
      <c r="L101" s="1147">
        <f t="shared" si="31"/>
        <v>2.4700000000000002</v>
      </c>
      <c r="M101" s="1147">
        <f t="shared" si="31"/>
        <v>2.4700000000000002</v>
      </c>
      <c r="N101" s="1147">
        <f t="shared" si="31"/>
        <v>2.4700000000000002</v>
      </c>
    </row>
    <row r="102" spans="1:14">
      <c r="A102" s="3441"/>
      <c r="B102" s="1142">
        <v>1</v>
      </c>
      <c r="C102" s="1143">
        <f>1.9362/C101</f>
        <v>0.78388663967611327</v>
      </c>
      <c r="D102" s="1143">
        <f>1.9362/D101</f>
        <v>0.78388663967611327</v>
      </c>
      <c r="E102" s="1143">
        <f>1.8629/E101</f>
        <v>0.75421052631578944</v>
      </c>
      <c r="F102" s="1143">
        <f>1.8629/F101</f>
        <v>0.75421052631578944</v>
      </c>
      <c r="G102" s="1143">
        <f>1.8629/G101</f>
        <v>0.75421052631578944</v>
      </c>
      <c r="H102" s="1143">
        <f>1.8629/H101</f>
        <v>0.75421052631578944</v>
      </c>
      <c r="I102" s="1143">
        <f>1.8629/I101</f>
        <v>0.75421052631578944</v>
      </c>
      <c r="J102" s="1143">
        <f>1.942/J101</f>
        <v>0.78623481781376514</v>
      </c>
      <c r="K102" s="1143">
        <f>1.942/K101</f>
        <v>0.78623481781376514</v>
      </c>
      <c r="L102" s="1143">
        <f>1.942/L101</f>
        <v>0.78623481781376514</v>
      </c>
      <c r="M102" s="1143">
        <f>1.942/M101</f>
        <v>0.78623481781376514</v>
      </c>
      <c r="N102" s="1143">
        <f>1.942/N101</f>
        <v>0.78623481781376514</v>
      </c>
    </row>
    <row r="103" spans="1:14">
      <c r="A103" s="3441"/>
      <c r="B103" s="1142">
        <v>2</v>
      </c>
      <c r="C103" s="1143">
        <f>1.4198/C101</f>
        <v>0.57481781376518215</v>
      </c>
      <c r="D103" s="1143">
        <f>1.4198/D101</f>
        <v>0.57481781376518215</v>
      </c>
      <c r="E103" s="1143">
        <f>1.3372/E101</f>
        <v>0.54137651821862343</v>
      </c>
      <c r="F103" s="1143">
        <f>1.3372/F101</f>
        <v>0.54137651821862343</v>
      </c>
      <c r="G103" s="1143">
        <f>1.3372/G101</f>
        <v>0.54137651821862343</v>
      </c>
      <c r="H103" s="1143">
        <f>1.3372/H101</f>
        <v>0.54137651821862343</v>
      </c>
      <c r="I103" s="1143">
        <f>1.3372/I101</f>
        <v>0.54137651821862343</v>
      </c>
      <c r="J103" s="1143">
        <f>1.2799/J101</f>
        <v>0.51817813765182186</v>
      </c>
      <c r="K103" s="1143">
        <f>1.2799/K101</f>
        <v>0.51817813765182186</v>
      </c>
      <c r="L103" s="1143">
        <f>1.2799/L101</f>
        <v>0.51817813765182186</v>
      </c>
      <c r="M103" s="1143">
        <f>1.2799/M101</f>
        <v>0.51817813765182186</v>
      </c>
      <c r="N103" s="1143">
        <f>1.2799/N101</f>
        <v>0.51817813765182186</v>
      </c>
    </row>
    <row r="104" spans="1:14">
      <c r="A104" s="3441"/>
      <c r="B104" s="1142">
        <v>3</v>
      </c>
      <c r="C104" s="1143">
        <f>1.1594/C101</f>
        <v>0.46939271255060727</v>
      </c>
      <c r="D104" s="1143">
        <f>1.1594/D101</f>
        <v>0.46939271255060727</v>
      </c>
      <c r="E104" s="1143">
        <f>1.0788/E101</f>
        <v>0.43676113360323882</v>
      </c>
      <c r="F104" s="1143">
        <f>1.0788/F101</f>
        <v>0.43676113360323882</v>
      </c>
      <c r="G104" s="1143">
        <f>1.0788/G101</f>
        <v>0.43676113360323882</v>
      </c>
      <c r="H104" s="1143">
        <f>1.0788/H101</f>
        <v>0.43676113360323882</v>
      </c>
      <c r="I104" s="1143">
        <f>1.0788/I101</f>
        <v>0.43676113360323882</v>
      </c>
      <c r="J104" s="1143">
        <f>1.0072/J101</f>
        <v>0.40777327935222674</v>
      </c>
      <c r="K104" s="1143">
        <f>1.0072/K101</f>
        <v>0.40777327935222674</v>
      </c>
      <c r="L104" s="1143">
        <f>1.0072/L101</f>
        <v>0.40777327935222674</v>
      </c>
      <c r="M104" s="1143">
        <f>1.0072/M101</f>
        <v>0.40777327935222674</v>
      </c>
      <c r="N104" s="1143">
        <f>1.0072/N101</f>
        <v>0.40777327935222674</v>
      </c>
    </row>
    <row r="105" spans="1:14">
      <c r="A105" s="3441"/>
      <c r="B105" s="1142">
        <v>4</v>
      </c>
      <c r="C105" s="1143">
        <f>0.9622/C101</f>
        <v>0.38955465587044535</v>
      </c>
      <c r="D105" s="1143">
        <f>0.9622/D101</f>
        <v>0.38955465587044535</v>
      </c>
      <c r="E105" s="1143">
        <f>0.8656/E101</f>
        <v>0.35044534412955464</v>
      </c>
      <c r="F105" s="1143">
        <f>0.8656/F101</f>
        <v>0.35044534412955464</v>
      </c>
      <c r="G105" s="1143">
        <f>0.8656/G101</f>
        <v>0.35044534412955464</v>
      </c>
      <c r="H105" s="1143">
        <f>0.8656/H101</f>
        <v>0.35044534412955464</v>
      </c>
      <c r="I105" s="1143">
        <f>0.8656/I101</f>
        <v>0.35044534412955464</v>
      </c>
      <c r="J105" s="1143">
        <f>0.7525/J101</f>
        <v>0.30465587044534409</v>
      </c>
      <c r="K105" s="1143">
        <f>0.7525/K101</f>
        <v>0.30465587044534409</v>
      </c>
      <c r="L105" s="1143">
        <f>0.7525/L101</f>
        <v>0.30465587044534409</v>
      </c>
      <c r="M105" s="1143">
        <f>0.7525/M101</f>
        <v>0.30465587044534409</v>
      </c>
      <c r="N105" s="1143">
        <f>0.7525/N101</f>
        <v>0.30465587044534409</v>
      </c>
    </row>
    <row r="106" spans="1:14">
      <c r="A106" s="3441"/>
      <c r="B106" s="1142">
        <v>5</v>
      </c>
      <c r="C106" s="1143">
        <f>0.8417/C101</f>
        <v>0.34076923076923077</v>
      </c>
      <c r="D106" s="1143">
        <f>0.8417/D101</f>
        <v>0.34076923076923077</v>
      </c>
      <c r="E106" s="1143">
        <f>0.7371/E101</f>
        <v>0.29842105263157892</v>
      </c>
      <c r="F106" s="1143">
        <f>0.7371/F101</f>
        <v>0.29842105263157892</v>
      </c>
      <c r="G106" s="1143">
        <f>0.7371/G101</f>
        <v>0.29842105263157892</v>
      </c>
      <c r="H106" s="1143">
        <f>0.7371/H101</f>
        <v>0.29842105263157892</v>
      </c>
      <c r="I106" s="1143">
        <f>0.7371/I101</f>
        <v>0.29842105263157892</v>
      </c>
      <c r="J106" s="1143">
        <f>0.5659/J101</f>
        <v>0.22910931174089066</v>
      </c>
      <c r="K106" s="1143">
        <f>0.5659/K101</f>
        <v>0.22910931174089066</v>
      </c>
      <c r="L106" s="1143">
        <f>0.5659/L101</f>
        <v>0.22910931174089066</v>
      </c>
      <c r="M106" s="1143">
        <f>0.5659/M101</f>
        <v>0.22910931174089066</v>
      </c>
      <c r="N106" s="1143">
        <f>0.5659/N101</f>
        <v>0.22910931174089066</v>
      </c>
    </row>
    <row r="107" spans="1:14">
      <c r="A107" s="3441"/>
      <c r="B107" s="1142">
        <v>6</v>
      </c>
      <c r="C107" s="1143">
        <f>0.7608/C101</f>
        <v>0.30801619433198379</v>
      </c>
      <c r="D107" s="1143">
        <f>0.7608/D101</f>
        <v>0.30801619433198379</v>
      </c>
      <c r="E107" s="1143">
        <f>0.6482/E101</f>
        <v>0.26242914979757082</v>
      </c>
      <c r="F107" s="1143">
        <f>0.6482/F101</f>
        <v>0.26242914979757082</v>
      </c>
      <c r="G107" s="1143">
        <f>0.6482/G101</f>
        <v>0.26242914979757082</v>
      </c>
      <c r="H107" s="1143">
        <f>0.6482/H101</f>
        <v>0.26242914979757082</v>
      </c>
      <c r="I107" s="1143">
        <f>0.6482/I101</f>
        <v>0.26242914979757082</v>
      </c>
      <c r="J107" s="1143">
        <f>0.4525/J101</f>
        <v>0.1831983805668016</v>
      </c>
      <c r="K107" s="1143">
        <f>0.4525/K101</f>
        <v>0.1831983805668016</v>
      </c>
      <c r="L107" s="1143">
        <f>0.4525/L101</f>
        <v>0.1831983805668016</v>
      </c>
      <c r="M107" s="1143">
        <f>0.4525/M101</f>
        <v>0.1831983805668016</v>
      </c>
      <c r="N107" s="1143">
        <f>0.4525/N101</f>
        <v>0.1831983805668016</v>
      </c>
    </row>
    <row r="108" spans="1:14">
      <c r="A108" s="3441"/>
      <c r="B108" s="344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2"/>
      <c r="B109" s="3444"/>
      <c r="C109" s="1145">
        <f>(-0.163*(C108^2)-0.59*C108+7617)*(10^(-4))/C101</f>
        <v>0.30776712550607283</v>
      </c>
      <c r="D109" s="1145">
        <f>(-0.163*(D108^2)-0.59*D108+7617)*(10^(-4))/D101</f>
        <v>0.30776712550607283</v>
      </c>
      <c r="E109" s="1145">
        <f>(-0.161*(E108^2)-7.509*E108+6533)*(10^(-4))/E101</f>
        <v>0.2616446963562753</v>
      </c>
      <c r="F109" s="1145">
        <f>(-0.161*(F108^2)-7.509*F108+6533)*(10^(-4))/F101</f>
        <v>0.2616446963562753</v>
      </c>
      <c r="G109" s="1145">
        <f>(-0.161*(G108^2)-7.509*G108+6533)*(10^(-4))/G101</f>
        <v>0.2616446963562753</v>
      </c>
      <c r="H109" s="1145">
        <f>(-0.161*(H108^2)-7.509*H108+6533)*(10^(-4))/H101</f>
        <v>0.2616446963562753</v>
      </c>
      <c r="I109" s="1145">
        <f>(-0.161*(I108^2)-7.509*I108+6533)*(10^(-4))/I101</f>
        <v>0.2616446963562753</v>
      </c>
      <c r="J109" s="1145">
        <f>(-0.214*(J108^2)-21.991*J108+4665)*(10^(-4))/J101</f>
        <v>0.1811893117408907</v>
      </c>
      <c r="K109" s="1145">
        <f>(-0.214*(K108^2)-21.991*K108+4665)*(10^(-4))/K101</f>
        <v>0.1811893117408907</v>
      </c>
      <c r="L109" s="1145">
        <f>(-0.214*(L108^2)-21.991*L108+4665)*(10^(-4))/L101</f>
        <v>0.1811893117408907</v>
      </c>
      <c r="M109" s="1145">
        <f>(-0.214*(M108^2)-21.991*M108+4665)*(10^(-4))/M101</f>
        <v>0.1811893117408907</v>
      </c>
      <c r="N109" s="1145">
        <f>(-0.214*(N108^2)-21.991*N108+4665)*(10^(-4))/N101</f>
        <v>0.1811893117408907</v>
      </c>
    </row>
    <row r="110" spans="1:14">
      <c r="A110" s="3427" t="s">
        <v>1640</v>
      </c>
      <c r="B110" s="3427"/>
      <c r="C110" s="3427"/>
      <c r="D110" s="3427"/>
      <c r="E110" s="3427"/>
      <c r="F110" s="3427"/>
      <c r="G110" s="3427"/>
      <c r="H110" s="3427"/>
      <c r="I110" s="3427"/>
      <c r="J110" s="3427"/>
      <c r="K110" s="2449"/>
      <c r="L110" s="2449"/>
      <c r="M110" s="2449"/>
      <c r="N110" s="2449"/>
    </row>
    <row r="112" spans="1:14" ht="12.75" thickBot="1"/>
    <row r="113" spans="1:13" ht="25.5" thickBot="1">
      <c r="A113" s="1015" t="s">
        <v>896</v>
      </c>
      <c r="B113" s="2452">
        <f>G3</f>
        <v>2.4700000000000002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0.9103</v>
      </c>
      <c r="C115" s="1029">
        <f>B115</f>
        <v>0.9103</v>
      </c>
      <c r="D115" s="1029">
        <f>ROUND(0.8331-0.0109*B113,4)</f>
        <v>0.80620000000000003</v>
      </c>
      <c r="E115" s="1029">
        <f>D115</f>
        <v>0.80620000000000003</v>
      </c>
      <c r="F115" s="1029">
        <f>E115</f>
        <v>0.80620000000000003</v>
      </c>
      <c r="G115" s="1029">
        <f>F115</f>
        <v>0.80620000000000003</v>
      </c>
      <c r="H115" s="1029">
        <f>G115</f>
        <v>0.80620000000000003</v>
      </c>
      <c r="I115" s="1029">
        <f>ROUND(0.689-0.0155*B113,4)</f>
        <v>0.65069999999999995</v>
      </c>
      <c r="J115" s="1029">
        <f t="shared" ref="J115:M118" si="33">I115</f>
        <v>0.65069999999999995</v>
      </c>
      <c r="K115" s="1029">
        <f t="shared" si="33"/>
        <v>0.65069999999999995</v>
      </c>
      <c r="L115" s="1029">
        <f t="shared" si="33"/>
        <v>0.65069999999999995</v>
      </c>
      <c r="M115" s="1030">
        <f t="shared" si="33"/>
        <v>0.65069999999999995</v>
      </c>
    </row>
    <row r="116" spans="1:13" ht="12.75">
      <c r="A116" s="1028" t="s">
        <v>901</v>
      </c>
      <c r="B116" s="1029">
        <f>ROUND(0.949-0.012*B113,4)</f>
        <v>0.9194</v>
      </c>
      <c r="C116" s="1029">
        <f>B116</f>
        <v>0.9194</v>
      </c>
      <c r="D116" s="1029">
        <f>ROUND(0.8567-0.013*B113,4)</f>
        <v>0.8246</v>
      </c>
      <c r="E116" s="1029">
        <f t="shared" ref="E116:H117" si="34">D116</f>
        <v>0.8246</v>
      </c>
      <c r="F116" s="1029">
        <f t="shared" si="34"/>
        <v>0.8246</v>
      </c>
      <c r="G116" s="1029">
        <f t="shared" si="34"/>
        <v>0.8246</v>
      </c>
      <c r="H116" s="1029">
        <f t="shared" si="34"/>
        <v>0.8246</v>
      </c>
      <c r="I116" s="1029">
        <f>ROUND(0.7694-0.014*B113,4)</f>
        <v>0.73480000000000001</v>
      </c>
      <c r="J116" s="1029">
        <f t="shared" si="33"/>
        <v>0.73480000000000001</v>
      </c>
      <c r="K116" s="1029">
        <f t="shared" si="33"/>
        <v>0.73480000000000001</v>
      </c>
      <c r="L116" s="1029">
        <f t="shared" si="33"/>
        <v>0.73480000000000001</v>
      </c>
      <c r="M116" s="1030">
        <f t="shared" si="33"/>
        <v>0.73480000000000001</v>
      </c>
    </row>
    <row r="117" spans="1:13" ht="12.75">
      <c r="A117" s="1031" t="s">
        <v>902</v>
      </c>
      <c r="B117" s="1029">
        <f>ROUND(0.8808-0.006*B113,4)</f>
        <v>0.86599999999999999</v>
      </c>
      <c r="C117" s="1029">
        <f>B117</f>
        <v>0.86599999999999999</v>
      </c>
      <c r="D117" s="1029">
        <f>ROUND(0.8748-0.008*B113,4)</f>
        <v>0.85499999999999998</v>
      </c>
      <c r="E117" s="1029">
        <f t="shared" si="34"/>
        <v>0.85499999999999998</v>
      </c>
      <c r="F117" s="1029">
        <f t="shared" si="34"/>
        <v>0.85499999999999998</v>
      </c>
      <c r="G117" s="1029">
        <f t="shared" si="34"/>
        <v>0.85499999999999998</v>
      </c>
      <c r="H117" s="1029">
        <f t="shared" si="34"/>
        <v>0.85499999999999998</v>
      </c>
      <c r="I117" s="1029">
        <f>ROUND(0.7412-0.0095*B113,4)</f>
        <v>0.7177</v>
      </c>
      <c r="J117" s="1029">
        <f t="shared" si="33"/>
        <v>0.7177</v>
      </c>
      <c r="K117" s="1029">
        <f t="shared" si="33"/>
        <v>0.7177</v>
      </c>
      <c r="L117" s="1029">
        <f t="shared" si="33"/>
        <v>0.7177</v>
      </c>
      <c r="M117" s="1030">
        <f t="shared" si="33"/>
        <v>0.7177</v>
      </c>
    </row>
    <row r="118" spans="1:13" ht="13.5" thickBot="1">
      <c r="A118" s="1032" t="s">
        <v>903</v>
      </c>
      <c r="B118" s="1033">
        <f>ROUND(0.7275-0.01*B113,4)</f>
        <v>0.70279999999999998</v>
      </c>
      <c r="C118" s="1033">
        <f>B118</f>
        <v>0.70279999999999998</v>
      </c>
      <c r="D118" s="1033">
        <f>ROUND(0.7043-0.012*B113,4)</f>
        <v>0.67469999999999997</v>
      </c>
      <c r="E118" s="1033">
        <f>D118</f>
        <v>0.67469999999999997</v>
      </c>
      <c r="F118" s="1033">
        <f>E118</f>
        <v>0.67469999999999997</v>
      </c>
      <c r="G118" s="1033">
        <f>ROUND(0.6299-0.0122*B113,4)</f>
        <v>0.5998</v>
      </c>
      <c r="H118" s="1033">
        <f>G118</f>
        <v>0.5998</v>
      </c>
      <c r="I118" s="1033">
        <f>ROUND(0.5667-0.0136*B113,4)</f>
        <v>0.53310000000000002</v>
      </c>
      <c r="J118" s="1033">
        <f t="shared" si="33"/>
        <v>0.53310000000000002</v>
      </c>
      <c r="K118" s="1033">
        <f t="shared" si="33"/>
        <v>0.53310000000000002</v>
      </c>
      <c r="L118" s="1033">
        <f t="shared" si="33"/>
        <v>0.53310000000000002</v>
      </c>
      <c r="M118" s="1034">
        <f t="shared" si="33"/>
        <v>0.53310000000000002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3" t="s">
        <v>1008</v>
      </c>
      <c r="B18" s="1153" t="s">
        <v>1447</v>
      </c>
      <c r="C18" s="1130" t="s">
        <v>1448</v>
      </c>
      <c r="D18" s="1131"/>
      <c r="E18" s="1153">
        <v>1</v>
      </c>
      <c r="F18" s="1132" t="s">
        <v>1449</v>
      </c>
      <c r="G18" s="1133"/>
      <c r="H18" s="1104"/>
      <c r="I18" s="1104"/>
    </row>
    <row r="19" spans="1:9" s="1599" customFormat="1" ht="19.5" customHeight="1">
      <c r="A19" s="3433"/>
      <c r="B19" s="3433" t="s">
        <v>1450</v>
      </c>
      <c r="C19" s="1130" t="s">
        <v>1451</v>
      </c>
      <c r="D19" s="1131"/>
      <c r="E19" s="1153">
        <v>0.9</v>
      </c>
      <c r="F19" s="1132" t="s">
        <v>1452</v>
      </c>
      <c r="G19" s="1133"/>
      <c r="H19" s="1104"/>
      <c r="I19" s="1104"/>
    </row>
    <row r="20" spans="1:9" s="1599" customFormat="1" ht="19.5" customHeight="1">
      <c r="A20" s="3433"/>
      <c r="B20" s="3433"/>
      <c r="C20" s="1130" t="s">
        <v>1453</v>
      </c>
      <c r="D20" s="1131"/>
      <c r="E20" s="1153">
        <v>1.1000000000000001</v>
      </c>
      <c r="F20" s="1132" t="s">
        <v>1454</v>
      </c>
      <c r="G20" s="1133"/>
      <c r="H20" s="1104"/>
      <c r="I20" s="1104"/>
    </row>
    <row r="21" spans="1:9" s="1599" customFormat="1" ht="19.5" customHeight="1">
      <c r="A21" s="3433"/>
      <c r="B21" s="3433"/>
      <c r="C21" s="1130" t="s">
        <v>1455</v>
      </c>
      <c r="D21" s="1131"/>
      <c r="E21" s="1153">
        <v>0.8</v>
      </c>
      <c r="F21" s="1132" t="s">
        <v>1456</v>
      </c>
      <c r="G21" s="1133"/>
      <c r="H21" s="1104"/>
      <c r="I21" s="1104"/>
    </row>
    <row r="22" spans="1:9" s="1599" customFormat="1" ht="19.5" customHeight="1">
      <c r="A22" s="3433"/>
      <c r="B22" s="3433"/>
      <c r="C22" s="1130" t="s">
        <v>1457</v>
      </c>
      <c r="D22" s="1131"/>
      <c r="E22" s="1153">
        <v>0.5</v>
      </c>
      <c r="F22" s="1132"/>
      <c r="G22" s="1133"/>
      <c r="H22" s="1104"/>
      <c r="I22" s="1104"/>
    </row>
    <row r="23" spans="1:9" s="1599" customFormat="1" ht="19.5" customHeight="1">
      <c r="A23" s="3433" t="s">
        <v>1030</v>
      </c>
      <c r="B23" s="1153" t="s">
        <v>1447</v>
      </c>
      <c r="C23" s="1130" t="s">
        <v>1458</v>
      </c>
      <c r="D23" s="1131"/>
      <c r="E23" s="1153">
        <v>1</v>
      </c>
      <c r="F23" s="1132" t="s">
        <v>1459</v>
      </c>
      <c r="G23" s="1133"/>
      <c r="H23" s="1104"/>
      <c r="I23" s="1104"/>
    </row>
    <row r="24" spans="1:9" s="1599" customFormat="1" ht="19.5" customHeight="1">
      <c r="A24" s="3433"/>
      <c r="B24" s="3433" t="s">
        <v>1450</v>
      </c>
      <c r="C24" s="1130" t="s">
        <v>1460</v>
      </c>
      <c r="D24" s="1131"/>
      <c r="E24" s="1153">
        <v>0.5</v>
      </c>
      <c r="F24" s="1132"/>
      <c r="G24" s="1133"/>
      <c r="H24" s="1104"/>
      <c r="I24" s="1104"/>
    </row>
    <row r="25" spans="1:9" s="1599" customFormat="1" ht="19.5" customHeight="1">
      <c r="A25" s="3433"/>
      <c r="B25" s="3433"/>
      <c r="C25" s="1130" t="s">
        <v>1461</v>
      </c>
      <c r="D25" s="1131"/>
      <c r="E25" s="1153">
        <v>1.1000000000000001</v>
      </c>
      <c r="F25" s="1132"/>
      <c r="G25" s="1133"/>
      <c r="H25" s="1104"/>
      <c r="I25" s="1104"/>
    </row>
    <row r="26" spans="1:9" s="1599" customFormat="1" ht="19.5" customHeight="1">
      <c r="A26" s="3433"/>
      <c r="B26" s="3433"/>
      <c r="C26" s="1130" t="s">
        <v>1462</v>
      </c>
      <c r="D26" s="1131"/>
      <c r="E26" s="1153">
        <v>1.1000000000000001</v>
      </c>
      <c r="F26" s="1132"/>
      <c r="G26" s="1133"/>
      <c r="H26" s="1104"/>
      <c r="I26" s="1104"/>
    </row>
    <row r="27" spans="1:9" s="1599" customFormat="1" ht="19.5" customHeight="1">
      <c r="A27" s="3433"/>
      <c r="B27" s="3433"/>
      <c r="C27" s="1130" t="s">
        <v>1463</v>
      </c>
      <c r="D27" s="1131"/>
      <c r="E27" s="1153">
        <v>0.9</v>
      </c>
      <c r="F27" s="1132" t="s">
        <v>1464</v>
      </c>
      <c r="G27" s="1133"/>
      <c r="H27" s="1104"/>
      <c r="I27" s="1104"/>
    </row>
    <row r="28" spans="1:9" s="1599" customFormat="1" ht="19.5" customHeight="1">
      <c r="A28" s="3433"/>
      <c r="B28" s="3433"/>
      <c r="C28" s="1130" t="s">
        <v>1465</v>
      </c>
      <c r="D28" s="1131"/>
      <c r="E28" s="1153">
        <v>0.9</v>
      </c>
      <c r="F28" s="1132" t="s">
        <v>1466</v>
      </c>
      <c r="G28" s="1133"/>
      <c r="H28" s="1104"/>
      <c r="I28" s="1104"/>
    </row>
    <row r="29" spans="1:9" s="1599" customFormat="1" ht="19.5" customHeight="1">
      <c r="A29" s="3433"/>
      <c r="B29" s="3433"/>
      <c r="C29" s="1130" t="s">
        <v>1467</v>
      </c>
      <c r="D29" s="1131"/>
      <c r="E29" s="1153">
        <v>0.9</v>
      </c>
      <c r="F29" s="1132" t="s">
        <v>1468</v>
      </c>
      <c r="G29" s="1133"/>
      <c r="H29" s="1104"/>
      <c r="I29" s="1104"/>
    </row>
    <row r="30" spans="1:9" s="1599" customFormat="1" ht="19.5" customHeight="1">
      <c r="A30" s="3433"/>
      <c r="B30" s="3433"/>
      <c r="C30" s="1130" t="s">
        <v>1469</v>
      </c>
      <c r="D30" s="1131"/>
      <c r="E30" s="1153">
        <v>0.9</v>
      </c>
      <c r="F30" s="1132" t="s">
        <v>1470</v>
      </c>
      <c r="G30" s="1133"/>
      <c r="H30" s="1104"/>
      <c r="I30" s="1104"/>
    </row>
    <row r="31" spans="1:9" s="1599" customFormat="1" ht="19.5" customHeight="1">
      <c r="A31" s="3433"/>
      <c r="B31" s="3433"/>
      <c r="C31" s="1130" t="s">
        <v>1471</v>
      </c>
      <c r="D31" s="1131"/>
      <c r="E31" s="1153">
        <v>0.8</v>
      </c>
      <c r="F31" s="1132" t="s">
        <v>1472</v>
      </c>
      <c r="G31" s="1133"/>
      <c r="H31" s="1104"/>
      <c r="I31" s="1104"/>
    </row>
    <row r="32" spans="1:9" s="1599" customFormat="1" ht="19.5" customHeight="1">
      <c r="A32" s="3433"/>
      <c r="B32" s="3433"/>
      <c r="C32" s="1130" t="s">
        <v>1473</v>
      </c>
      <c r="D32" s="1131"/>
      <c r="E32" s="1153">
        <v>0.8</v>
      </c>
      <c r="F32" s="1132" t="s">
        <v>1474</v>
      </c>
      <c r="G32" s="1133"/>
      <c r="H32" s="1104"/>
      <c r="I32" s="1104"/>
    </row>
    <row r="33" spans="1:9" s="1599" customFormat="1" ht="19.5" customHeight="1">
      <c r="A33" s="3433" t="s">
        <v>1475</v>
      </c>
      <c r="B33" s="1153" t="s">
        <v>1447</v>
      </c>
      <c r="C33" s="1130" t="s">
        <v>1476</v>
      </c>
      <c r="D33" s="1131"/>
      <c r="E33" s="1153">
        <v>1</v>
      </c>
      <c r="F33" s="1132" t="s">
        <v>1477</v>
      </c>
      <c r="G33" s="1133"/>
      <c r="H33" s="1104"/>
      <c r="I33" s="1104"/>
    </row>
    <row r="34" spans="1:9" s="1599" customFormat="1" ht="19.5" customHeight="1">
      <c r="A34" s="3433"/>
      <c r="B34" s="1153" t="s">
        <v>1450</v>
      </c>
      <c r="C34" s="1130" t="s">
        <v>1478</v>
      </c>
      <c r="D34" s="1131"/>
      <c r="E34" s="1153">
        <v>1.5</v>
      </c>
      <c r="F34" s="1132" t="s">
        <v>1479</v>
      </c>
      <c r="G34" s="1133"/>
      <c r="H34" s="1104"/>
      <c r="I34" s="1104"/>
    </row>
    <row r="35" spans="1:9" s="1599" customFormat="1" ht="19.5" customHeight="1">
      <c r="A35" s="3433" t="s">
        <v>1433</v>
      </c>
      <c r="B35" s="1153" t="s">
        <v>1447</v>
      </c>
      <c r="C35" s="1130" t="s">
        <v>1480</v>
      </c>
      <c r="D35" s="1131"/>
      <c r="E35" s="1153">
        <v>1</v>
      </c>
      <c r="F35" s="1132" t="s">
        <v>1481</v>
      </c>
      <c r="G35" s="1133"/>
      <c r="H35" s="1104"/>
      <c r="I35" s="1104"/>
    </row>
    <row r="36" spans="1:9" s="1599" customFormat="1" ht="19.5" customHeight="1">
      <c r="A36" s="3433"/>
      <c r="B36" s="3433" t="s">
        <v>1450</v>
      </c>
      <c r="C36" s="1130" t="s">
        <v>1482</v>
      </c>
      <c r="D36" s="1131"/>
      <c r="E36" s="1153">
        <v>1</v>
      </c>
      <c r="F36" s="1132" t="s">
        <v>1483</v>
      </c>
      <c r="G36" s="1133"/>
      <c r="H36" s="1104"/>
      <c r="I36" s="1104"/>
    </row>
    <row r="37" spans="1:9" s="1599" customFormat="1" ht="19.5" customHeight="1">
      <c r="A37" s="3433"/>
      <c r="B37" s="3433"/>
      <c r="C37" s="1130" t="s">
        <v>1484</v>
      </c>
      <c r="D37" s="1131"/>
      <c r="E37" s="1153">
        <v>1.5</v>
      </c>
      <c r="F37" s="1132" t="s">
        <v>1485</v>
      </c>
      <c r="G37" s="1133"/>
      <c r="H37" s="1104"/>
      <c r="I37" s="1104"/>
    </row>
    <row r="38" spans="1:9" s="1599" customFormat="1" ht="19.5" customHeight="1">
      <c r="A38" s="3433"/>
      <c r="B38" s="3433"/>
      <c r="C38" s="1130" t="s">
        <v>1486</v>
      </c>
      <c r="D38" s="1131"/>
      <c r="E38" s="1153">
        <v>1</v>
      </c>
      <c r="F38" s="1132" t="s">
        <v>1487</v>
      </c>
      <c r="G38" s="1133"/>
      <c r="H38" s="1104"/>
      <c r="I38" s="1104"/>
    </row>
    <row r="39" spans="1:9" s="1599" customFormat="1" ht="19.5" customHeight="1">
      <c r="A39" s="3433"/>
      <c r="B39" s="3433"/>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3" t="s">
        <v>1502</v>
      </c>
      <c r="C61" s="1067" t="s">
        <v>1503</v>
      </c>
      <c r="D61" s="1067" t="s">
        <v>1504</v>
      </c>
      <c r="E61" s="1138">
        <v>0.5</v>
      </c>
      <c r="F61" s="1153">
        <v>80</v>
      </c>
      <c r="H61" s="1104">
        <f>SUMIF(C59:C119,基准地价!C8,E59:E119)</f>
        <v>0</v>
      </c>
    </row>
    <row r="62" spans="1:8" s="1104" customFormat="1" ht="24">
      <c r="A62" s="1153">
        <v>2</v>
      </c>
      <c r="B62" s="3433"/>
      <c r="C62" s="1067" t="s">
        <v>1505</v>
      </c>
      <c r="D62" s="1067" t="s">
        <v>1506</v>
      </c>
      <c r="E62" s="1138">
        <v>0.5</v>
      </c>
      <c r="F62" s="1153">
        <v>80</v>
      </c>
    </row>
    <row r="63" spans="1:8" s="1104" customFormat="1" ht="36">
      <c r="A63" s="1153">
        <v>3</v>
      </c>
      <c r="B63" s="3433"/>
      <c r="C63" s="1067" t="s">
        <v>1507</v>
      </c>
      <c r="D63" s="1067" t="s">
        <v>1508</v>
      </c>
      <c r="E63" s="1138">
        <v>0.5</v>
      </c>
      <c r="F63" s="1153">
        <v>80</v>
      </c>
    </row>
    <row r="64" spans="1:8" s="1104" customFormat="1" ht="36">
      <c r="A64" s="1153">
        <v>4</v>
      </c>
      <c r="B64" s="3433"/>
      <c r="C64" s="1067" t="s">
        <v>1509</v>
      </c>
      <c r="D64" s="1067" t="s">
        <v>1510</v>
      </c>
      <c r="E64" s="1138">
        <v>0.4</v>
      </c>
      <c r="F64" s="1153">
        <v>60</v>
      </c>
    </row>
    <row r="65" spans="1:6" s="1104" customFormat="1" ht="36">
      <c r="A65" s="1153">
        <v>5</v>
      </c>
      <c r="B65" s="3433"/>
      <c r="C65" s="1067" t="s">
        <v>1511</v>
      </c>
      <c r="D65" s="1067" t="s">
        <v>1512</v>
      </c>
      <c r="E65" s="1138">
        <v>0.2</v>
      </c>
      <c r="F65" s="1153">
        <v>30</v>
      </c>
    </row>
    <row r="66" spans="1:6" s="1104" customFormat="1" ht="36">
      <c r="A66" s="1153">
        <v>6</v>
      </c>
      <c r="B66" s="3433"/>
      <c r="C66" s="1067" t="s">
        <v>1513</v>
      </c>
      <c r="D66" s="1067" t="s">
        <v>1514</v>
      </c>
      <c r="E66" s="1138">
        <v>0.3</v>
      </c>
      <c r="F66" s="1153">
        <v>50</v>
      </c>
    </row>
    <row r="67" spans="1:6" s="1104" customFormat="1" ht="36">
      <c r="A67" s="1153">
        <v>7</v>
      </c>
      <c r="B67" s="3433"/>
      <c r="C67" s="1067" t="s">
        <v>1515</v>
      </c>
      <c r="D67" s="1067" t="s">
        <v>1516</v>
      </c>
      <c r="E67" s="1138">
        <v>0.2</v>
      </c>
      <c r="F67" s="1153">
        <v>30</v>
      </c>
    </row>
    <row r="68" spans="1:6" s="1104" customFormat="1" ht="36">
      <c r="A68" s="1153">
        <v>8</v>
      </c>
      <c r="B68" s="3433"/>
      <c r="C68" s="1067" t="s">
        <v>1517</v>
      </c>
      <c r="D68" s="1067" t="s">
        <v>1518</v>
      </c>
      <c r="E68" s="1138">
        <v>0.2</v>
      </c>
      <c r="F68" s="1153">
        <v>30</v>
      </c>
    </row>
    <row r="69" spans="1:6" s="1104" customFormat="1" ht="36">
      <c r="A69" s="1153">
        <v>9</v>
      </c>
      <c r="B69" s="3433"/>
      <c r="C69" s="1067" t="s">
        <v>1519</v>
      </c>
      <c r="D69" s="1067" t="s">
        <v>1520</v>
      </c>
      <c r="E69" s="1138">
        <v>0.2</v>
      </c>
      <c r="F69" s="1153">
        <v>30</v>
      </c>
    </row>
    <row r="70" spans="1:6" s="1104" customFormat="1" ht="48">
      <c r="A70" s="1153">
        <v>10</v>
      </c>
      <c r="B70" s="3433"/>
      <c r="C70" s="1067" t="s">
        <v>1521</v>
      </c>
      <c r="D70" s="1067" t="s">
        <v>1522</v>
      </c>
      <c r="E70" s="1138">
        <v>0.2</v>
      </c>
      <c r="F70" s="1153">
        <v>30</v>
      </c>
    </row>
    <row r="71" spans="1:6" s="1104" customFormat="1" ht="48">
      <c r="A71" s="1153">
        <v>11</v>
      </c>
      <c r="B71" s="3433"/>
      <c r="C71" s="1067" t="s">
        <v>1523</v>
      </c>
      <c r="D71" s="1067" t="s">
        <v>1524</v>
      </c>
      <c r="E71" s="1138">
        <v>0.2</v>
      </c>
      <c r="F71" s="1153">
        <v>30</v>
      </c>
    </row>
    <row r="72" spans="1:6" s="1104" customFormat="1" ht="36">
      <c r="A72" s="1153">
        <v>12</v>
      </c>
      <c r="B72" s="3433"/>
      <c r="C72" s="1067" t="s">
        <v>1525</v>
      </c>
      <c r="D72" s="1067" t="s">
        <v>1526</v>
      </c>
      <c r="E72" s="1138">
        <v>0.5</v>
      </c>
      <c r="F72" s="1153">
        <v>80</v>
      </c>
    </row>
    <row r="73" spans="1:6" s="1104" customFormat="1" ht="24">
      <c r="A73" s="1153">
        <v>13</v>
      </c>
      <c r="B73" s="3433"/>
      <c r="C73" s="1067" t="s">
        <v>1527</v>
      </c>
      <c r="D73" s="1067" t="s">
        <v>1528</v>
      </c>
      <c r="E73" s="1138">
        <v>0.4</v>
      </c>
      <c r="F73" s="1153">
        <v>60</v>
      </c>
    </row>
    <row r="74" spans="1:6" s="1104" customFormat="1" ht="24">
      <c r="A74" s="1153">
        <v>14</v>
      </c>
      <c r="B74" s="3433"/>
      <c r="C74" s="1067" t="s">
        <v>1529</v>
      </c>
      <c r="D74" s="1067" t="s">
        <v>1530</v>
      </c>
      <c r="E74" s="1138">
        <v>0.2</v>
      </c>
      <c r="F74" s="1153">
        <v>30</v>
      </c>
    </row>
    <row r="75" spans="1:6" s="1104" customFormat="1" ht="24">
      <c r="A75" s="1153">
        <v>15</v>
      </c>
      <c r="B75" s="3433"/>
      <c r="C75" s="1067" t="s">
        <v>1531</v>
      </c>
      <c r="D75" s="1067" t="s">
        <v>1532</v>
      </c>
      <c r="E75" s="1138">
        <v>0.2</v>
      </c>
      <c r="F75" s="1153">
        <v>30</v>
      </c>
    </row>
    <row r="76" spans="1:6" s="1104" customFormat="1" ht="24">
      <c r="A76" s="1153">
        <v>16</v>
      </c>
      <c r="B76" s="3433" t="s">
        <v>1533</v>
      </c>
      <c r="C76" s="1067" t="s">
        <v>1534</v>
      </c>
      <c r="D76" s="1067" t="s">
        <v>1535</v>
      </c>
      <c r="E76" s="1138">
        <v>0.5</v>
      </c>
      <c r="F76" s="1153">
        <v>80</v>
      </c>
    </row>
    <row r="77" spans="1:6" s="1104" customFormat="1" ht="24">
      <c r="A77" s="1153">
        <v>17</v>
      </c>
      <c r="B77" s="3433"/>
      <c r="C77" s="1067" t="s">
        <v>1536</v>
      </c>
      <c r="D77" s="1067" t="s">
        <v>1537</v>
      </c>
      <c r="E77" s="1138">
        <v>0.5</v>
      </c>
      <c r="F77" s="1153">
        <v>80</v>
      </c>
    </row>
    <row r="78" spans="1:6" s="1104" customFormat="1" ht="24">
      <c r="A78" s="1153">
        <v>18</v>
      </c>
      <c r="B78" s="3433"/>
      <c r="C78" s="1067" t="s">
        <v>1538</v>
      </c>
      <c r="D78" s="1067" t="s">
        <v>1539</v>
      </c>
      <c r="E78" s="1138">
        <v>0.2</v>
      </c>
      <c r="F78" s="1153">
        <v>30</v>
      </c>
    </row>
    <row r="79" spans="1:6" s="1104" customFormat="1" ht="24">
      <c r="A79" s="1153">
        <v>19</v>
      </c>
      <c r="B79" s="3433"/>
      <c r="C79" s="1067" t="s">
        <v>1540</v>
      </c>
      <c r="D79" s="1067" t="s">
        <v>1541</v>
      </c>
      <c r="E79" s="1138">
        <v>0.5</v>
      </c>
      <c r="F79" s="1153">
        <v>80</v>
      </c>
    </row>
    <row r="80" spans="1:6" s="1104" customFormat="1" ht="36">
      <c r="A80" s="1153">
        <v>20</v>
      </c>
      <c r="B80" s="3433"/>
      <c r="C80" s="1067" t="s">
        <v>1542</v>
      </c>
      <c r="D80" s="1067" t="s">
        <v>1543</v>
      </c>
      <c r="E80" s="1138">
        <v>0.2</v>
      </c>
      <c r="F80" s="1153">
        <v>30</v>
      </c>
    </row>
    <row r="81" spans="1:6" s="1104" customFormat="1" ht="36">
      <c r="A81" s="1153">
        <v>21</v>
      </c>
      <c r="B81" s="3433"/>
      <c r="C81" s="1067" t="s">
        <v>1544</v>
      </c>
      <c r="D81" s="1067" t="s">
        <v>1545</v>
      </c>
      <c r="E81" s="1138">
        <v>0.2</v>
      </c>
      <c r="F81" s="1153">
        <v>30</v>
      </c>
    </row>
    <row r="82" spans="1:6" s="1104" customFormat="1" ht="48">
      <c r="A82" s="1153">
        <v>22</v>
      </c>
      <c r="B82" s="3433"/>
      <c r="C82" s="1067" t="s">
        <v>1546</v>
      </c>
      <c r="D82" s="1067" t="s">
        <v>1547</v>
      </c>
      <c r="E82" s="1138">
        <v>0.2</v>
      </c>
      <c r="F82" s="1153">
        <v>30</v>
      </c>
    </row>
    <row r="83" spans="1:6" s="1104" customFormat="1" ht="48">
      <c r="A83" s="1153">
        <v>23</v>
      </c>
      <c r="B83" s="3433"/>
      <c r="C83" s="1067" t="s">
        <v>1548</v>
      </c>
      <c r="D83" s="1067" t="s">
        <v>1549</v>
      </c>
      <c r="E83" s="1138">
        <v>0.2</v>
      </c>
      <c r="F83" s="1153">
        <v>30</v>
      </c>
    </row>
    <row r="84" spans="1:6" s="1104" customFormat="1" ht="36">
      <c r="A84" s="1153">
        <v>24</v>
      </c>
      <c r="B84" s="3433"/>
      <c r="C84" s="1067" t="s">
        <v>1550</v>
      </c>
      <c r="D84" s="1067" t="s">
        <v>1551</v>
      </c>
      <c r="E84" s="1138">
        <v>0.2</v>
      </c>
      <c r="F84" s="1153">
        <v>30</v>
      </c>
    </row>
    <row r="85" spans="1:6" s="1104" customFormat="1" ht="36">
      <c r="A85" s="1153">
        <v>25</v>
      </c>
      <c r="B85" s="3433"/>
      <c r="C85" s="1067" t="s">
        <v>1552</v>
      </c>
      <c r="D85" s="1067" t="s">
        <v>1553</v>
      </c>
      <c r="E85" s="1138">
        <v>0.5</v>
      </c>
      <c r="F85" s="1153">
        <v>80</v>
      </c>
    </row>
    <row r="86" spans="1:6" s="1104" customFormat="1" ht="36">
      <c r="A86" s="1153">
        <v>26</v>
      </c>
      <c r="B86" s="3433"/>
      <c r="C86" s="1067" t="s">
        <v>1554</v>
      </c>
      <c r="D86" s="1067" t="s">
        <v>1555</v>
      </c>
      <c r="E86" s="1138">
        <v>0.2</v>
      </c>
      <c r="F86" s="1153">
        <v>30</v>
      </c>
    </row>
    <row r="87" spans="1:6" s="1104" customFormat="1" ht="36">
      <c r="A87" s="1153">
        <v>27</v>
      </c>
      <c r="B87" s="3433"/>
      <c r="C87" s="1067" t="s">
        <v>1556</v>
      </c>
      <c r="D87" s="1067" t="s">
        <v>1557</v>
      </c>
      <c r="E87" s="1138">
        <v>0.2</v>
      </c>
      <c r="F87" s="1153">
        <v>30</v>
      </c>
    </row>
    <row r="88" spans="1:6" s="1104" customFormat="1" ht="36">
      <c r="A88" s="1153">
        <v>28</v>
      </c>
      <c r="B88" s="3433"/>
      <c r="C88" s="1067" t="s">
        <v>1558</v>
      </c>
      <c r="D88" s="1067" t="s">
        <v>1559</v>
      </c>
      <c r="E88" s="1138">
        <v>0.2</v>
      </c>
      <c r="F88" s="1153">
        <v>30</v>
      </c>
    </row>
    <row r="89" spans="1:6" s="1104" customFormat="1" ht="24">
      <c r="A89" s="1153">
        <v>29</v>
      </c>
      <c r="B89" s="3433"/>
      <c r="C89" s="1067" t="s">
        <v>1560</v>
      </c>
      <c r="D89" s="1067" t="s">
        <v>1561</v>
      </c>
      <c r="E89" s="1138">
        <v>0.2</v>
      </c>
      <c r="F89" s="1153">
        <v>30</v>
      </c>
    </row>
    <row r="90" spans="1:6" s="1104" customFormat="1" ht="24">
      <c r="A90" s="1153">
        <v>30</v>
      </c>
      <c r="B90" s="3433"/>
      <c r="C90" s="1067" t="s">
        <v>1562</v>
      </c>
      <c r="D90" s="1067" t="s">
        <v>1563</v>
      </c>
      <c r="E90" s="1138">
        <v>0.2</v>
      </c>
      <c r="F90" s="1153">
        <v>30</v>
      </c>
    </row>
    <row r="91" spans="1:6" s="1104" customFormat="1" ht="36">
      <c r="A91" s="1153">
        <v>31</v>
      </c>
      <c r="B91" s="3433"/>
      <c r="C91" s="1067" t="s">
        <v>1564</v>
      </c>
      <c r="D91" s="1067" t="s">
        <v>1565</v>
      </c>
      <c r="E91" s="1138">
        <v>0.2</v>
      </c>
      <c r="F91" s="1153">
        <v>30</v>
      </c>
    </row>
    <row r="92" spans="1:6" s="1104" customFormat="1" ht="24">
      <c r="A92" s="1153">
        <v>32</v>
      </c>
      <c r="B92" s="3433" t="s">
        <v>1566</v>
      </c>
      <c r="C92" s="1153" t="s">
        <v>1567</v>
      </c>
      <c r="D92" s="1067" t="s">
        <v>1568</v>
      </c>
      <c r="E92" s="1138">
        <v>0.2</v>
      </c>
      <c r="F92" s="1153">
        <v>30</v>
      </c>
    </row>
    <row r="93" spans="1:6" s="1104" customFormat="1" ht="36">
      <c r="A93" s="1153">
        <v>33</v>
      </c>
      <c r="B93" s="3433"/>
      <c r="C93" s="1153" t="s">
        <v>1569</v>
      </c>
      <c r="D93" s="1067" t="s">
        <v>1570</v>
      </c>
      <c r="E93" s="1138">
        <v>0.2</v>
      </c>
      <c r="F93" s="1153">
        <v>30</v>
      </c>
    </row>
    <row r="94" spans="1:6" s="1104" customFormat="1" ht="48">
      <c r="A94" s="1153">
        <v>34</v>
      </c>
      <c r="B94" s="3433"/>
      <c r="C94" s="1153" t="s">
        <v>1571</v>
      </c>
      <c r="D94" s="1067" t="s">
        <v>1572</v>
      </c>
      <c r="E94" s="1138">
        <v>0.2</v>
      </c>
      <c r="F94" s="1153">
        <v>30</v>
      </c>
    </row>
    <row r="95" spans="1:6" s="1104" customFormat="1" ht="36">
      <c r="A95" s="1153">
        <v>35</v>
      </c>
      <c r="B95" s="3433"/>
      <c r="C95" s="1153" t="s">
        <v>1573</v>
      </c>
      <c r="D95" s="1067" t="s">
        <v>1574</v>
      </c>
      <c r="E95" s="1138">
        <v>0.2</v>
      </c>
      <c r="F95" s="1153">
        <v>30</v>
      </c>
    </row>
    <row r="96" spans="1:6" s="1104" customFormat="1" ht="48">
      <c r="A96" s="1153">
        <v>36</v>
      </c>
      <c r="B96" s="3433"/>
      <c r="C96" s="1067" t="s">
        <v>1575</v>
      </c>
      <c r="D96" s="1067" t="s">
        <v>1576</v>
      </c>
      <c r="E96" s="1138">
        <v>0.2</v>
      </c>
      <c r="F96" s="1153">
        <v>30</v>
      </c>
    </row>
    <row r="97" spans="1:6" s="1104" customFormat="1" ht="36">
      <c r="A97" s="1153">
        <v>37</v>
      </c>
      <c r="B97" s="3433"/>
      <c r="C97" s="1153" t="s">
        <v>1577</v>
      </c>
      <c r="D97" s="1067" t="s">
        <v>1578</v>
      </c>
      <c r="E97" s="1138">
        <v>0.2</v>
      </c>
      <c r="F97" s="1153">
        <v>30</v>
      </c>
    </row>
    <row r="98" spans="1:6" s="1104" customFormat="1" ht="36">
      <c r="A98" s="1153">
        <v>38</v>
      </c>
      <c r="B98" s="3433"/>
      <c r="C98" s="1153" t="s">
        <v>1579</v>
      </c>
      <c r="D98" s="1067" t="s">
        <v>1580</v>
      </c>
      <c r="E98" s="1138">
        <v>0.2</v>
      </c>
      <c r="F98" s="1153">
        <v>30</v>
      </c>
    </row>
    <row r="99" spans="1:6" s="1104" customFormat="1" ht="36">
      <c r="A99" s="1153">
        <v>39</v>
      </c>
      <c r="B99" s="3433" t="s">
        <v>1581</v>
      </c>
      <c r="C99" s="1153" t="s">
        <v>1582</v>
      </c>
      <c r="D99" s="1067" t="s">
        <v>1583</v>
      </c>
      <c r="E99" s="1138">
        <v>0.3</v>
      </c>
      <c r="F99" s="1153">
        <v>50</v>
      </c>
    </row>
    <row r="100" spans="1:6" s="1104" customFormat="1" ht="24">
      <c r="A100" s="1153">
        <v>40</v>
      </c>
      <c r="B100" s="3433"/>
      <c r="C100" s="1153" t="s">
        <v>1584</v>
      </c>
      <c r="D100" s="1067" t="s">
        <v>1585</v>
      </c>
      <c r="E100" s="1138">
        <v>0.2</v>
      </c>
      <c r="F100" s="1153">
        <v>30</v>
      </c>
    </row>
    <row r="101" spans="1:6" s="1104" customFormat="1" ht="36">
      <c r="A101" s="1153">
        <v>41</v>
      </c>
      <c r="B101" s="343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3" t="s">
        <v>1596</v>
      </c>
      <c r="C105" s="1153" t="s">
        <v>1597</v>
      </c>
      <c r="D105" s="1067" t="s">
        <v>1598</v>
      </c>
      <c r="E105" s="1138">
        <v>0.2</v>
      </c>
      <c r="F105" s="1153">
        <v>30</v>
      </c>
    </row>
    <row r="106" spans="1:6" s="1104" customFormat="1" ht="36">
      <c r="A106" s="1153">
        <v>46</v>
      </c>
      <c r="B106" s="3433"/>
      <c r="C106" s="1153" t="s">
        <v>1599</v>
      </c>
      <c r="D106" s="1067" t="s">
        <v>1600</v>
      </c>
      <c r="E106" s="1138">
        <v>0.2</v>
      </c>
      <c r="F106" s="1153">
        <v>30</v>
      </c>
    </row>
    <row r="107" spans="1:6" s="1104" customFormat="1" ht="36">
      <c r="A107" s="1153">
        <v>47</v>
      </c>
      <c r="B107" s="3433" t="s">
        <v>1601</v>
      </c>
      <c r="C107" s="1153" t="s">
        <v>1602</v>
      </c>
      <c r="D107" s="1067" t="s">
        <v>1603</v>
      </c>
      <c r="E107" s="1138">
        <v>0.3</v>
      </c>
      <c r="F107" s="1153">
        <v>50</v>
      </c>
    </row>
    <row r="108" spans="1:6" s="1104" customFormat="1" ht="36">
      <c r="A108" s="1153">
        <v>48</v>
      </c>
      <c r="B108" s="343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3" t="s">
        <v>1612</v>
      </c>
      <c r="C111" s="1153" t="s">
        <v>1613</v>
      </c>
      <c r="D111" s="1067" t="s">
        <v>1614</v>
      </c>
      <c r="E111" s="1138">
        <v>0.2</v>
      </c>
      <c r="F111" s="1153">
        <v>30</v>
      </c>
    </row>
    <row r="112" spans="1:6" s="1104" customFormat="1" ht="24">
      <c r="A112" s="1153">
        <v>52</v>
      </c>
      <c r="B112" s="3433"/>
      <c r="C112" s="1153" t="s">
        <v>1615</v>
      </c>
      <c r="D112" s="1067" t="s">
        <v>1616</v>
      </c>
      <c r="E112" s="1138">
        <v>0.2</v>
      </c>
      <c r="F112" s="1153">
        <v>30</v>
      </c>
    </row>
    <row r="113" spans="1:14" s="1104" customFormat="1" ht="24">
      <c r="A113" s="1153">
        <v>53</v>
      </c>
      <c r="B113" s="343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3" t="s">
        <v>1625</v>
      </c>
      <c r="C116" s="1153" t="s">
        <v>1626</v>
      </c>
      <c r="D116" s="1067" t="s">
        <v>1627</v>
      </c>
      <c r="E116" s="1138">
        <v>0.2</v>
      </c>
      <c r="F116" s="1153">
        <v>30</v>
      </c>
    </row>
    <row r="117" spans="1:14" ht="36">
      <c r="A117" s="1153">
        <v>57</v>
      </c>
      <c r="B117" s="343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2" t="s">
        <v>1634</v>
      </c>
      <c r="B121" s="3432"/>
      <c r="C121" s="3432"/>
      <c r="D121" s="3432"/>
      <c r="E121" s="3432"/>
      <c r="F121" s="3432"/>
      <c r="G121" s="3432"/>
      <c r="H121" s="3432"/>
      <c r="I121" s="3432"/>
      <c r="J121" s="343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5" t="s">
        <v>1040</v>
      </c>
      <c r="B1" s="3445"/>
      <c r="C1" s="3445"/>
      <c r="D1" s="3445"/>
      <c r="E1" s="3445"/>
      <c r="F1" s="344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6" t="s">
        <v>1053</v>
      </c>
      <c r="B2" s="3446"/>
      <c r="C2" s="3446"/>
      <c r="D2" s="3446"/>
      <c r="E2" s="3446"/>
      <c r="F2" s="344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2425</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2426</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2082</v>
      </c>
      <c r="B1" s="3449"/>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2951</v>
      </c>
      <c r="B1" s="3104"/>
      <c r="C1" s="3104"/>
      <c r="D1" s="3104"/>
      <c r="E1" s="3104"/>
      <c r="F1" s="3104"/>
    </row>
    <row r="2" spans="1:6" ht="14.25">
      <c r="A2" s="3105" t="s">
        <v>2946</v>
      </c>
      <c r="B2" s="3106" t="e">
        <f ca="1">SUMIF(B7:B14,"&lt;&gt;#ref!",B7:B14)</f>
        <v>#DIV/0!</v>
      </c>
      <c r="C2" s="3105" t="s">
        <v>2947</v>
      </c>
      <c r="D2" s="3104"/>
      <c r="E2" s="3104"/>
      <c r="F2" s="3104"/>
    </row>
    <row r="3" spans="1:6" ht="14.25">
      <c r="A3" s="3105" t="s">
        <v>2980</v>
      </c>
      <c r="B3" s="3106" t="e">
        <f ca="1">ROUND(B2*10000/E3,0)</f>
        <v>#DIV/0!</v>
      </c>
      <c r="C3" s="3105" t="s">
        <v>2081</v>
      </c>
      <c r="D3" s="3105" t="s">
        <v>2948</v>
      </c>
      <c r="E3" s="3106">
        <f ca="1">SUMIF(E7:E14,"&lt;&gt;#ref!",E7:E14)</f>
        <v>0</v>
      </c>
      <c r="F3" s="3104"/>
    </row>
    <row r="4" spans="1:6" ht="14.25">
      <c r="A4" s="3105" t="s">
        <v>2955</v>
      </c>
      <c r="B4" s="3106" t="e">
        <f ca="1">ROUND(B2*10000/E4,0)</f>
        <v>#DIV/0!</v>
      </c>
      <c r="C4" s="3105" t="s">
        <v>2081</v>
      </c>
      <c r="D4" s="3105" t="s">
        <v>2956</v>
      </c>
      <c r="E4" s="3106">
        <f ca="1">SUMIF(F7:F14,"&lt;&gt;#ref!",F7:F14)</f>
        <v>0</v>
      </c>
      <c r="F4" s="3104"/>
    </row>
    <row r="5" spans="1:6" ht="14.25">
      <c r="A5" s="3107"/>
      <c r="B5" s="1882"/>
      <c r="C5" s="1882"/>
      <c r="D5" s="1882"/>
      <c r="E5" s="1882"/>
      <c r="F5" s="3104"/>
    </row>
    <row r="6" spans="1:6" ht="28.5">
      <c r="A6" s="3108" t="s">
        <v>2952</v>
      </c>
      <c r="B6" s="3105" t="s">
        <v>2949</v>
      </c>
      <c r="C6" s="3106"/>
      <c r="D6" s="1882"/>
      <c r="E6" s="3105" t="s">
        <v>2950</v>
      </c>
      <c r="F6" s="3105" t="s">
        <v>2954</v>
      </c>
    </row>
    <row r="7" spans="1:6" ht="14.25">
      <c r="A7" s="259" t="s">
        <v>2953</v>
      </c>
      <c r="B7" s="3109" t="e">
        <f ca="1">SUMIF(INDIRECT("'"&amp;A7&amp;"'"&amp;"!A:A"),"总价",INDIRECT("'"&amp;A7&amp;"'"&amp;"!B:B"))</f>
        <v>#DIV/0!</v>
      </c>
      <c r="C7" s="3105" t="s">
        <v>2947</v>
      </c>
      <c r="D7" s="1882"/>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2947</v>
      </c>
      <c r="D8" s="1882"/>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2947</v>
      </c>
      <c r="D9" s="1882"/>
      <c r="E9" s="3110" t="e">
        <f t="shared" ca="1" si="1"/>
        <v>#REF!</v>
      </c>
      <c r="F9" s="3110" t="e">
        <f t="shared" ca="1" si="2"/>
        <v>#REF!</v>
      </c>
    </row>
    <row r="10" spans="1:6" ht="14.25">
      <c r="A10" s="259"/>
      <c r="B10" s="3109" t="e">
        <f t="shared" ca="1" si="0"/>
        <v>#REF!</v>
      </c>
      <c r="C10" s="3105" t="s">
        <v>2947</v>
      </c>
      <c r="D10" s="1882"/>
      <c r="E10" s="3110" t="e">
        <f t="shared" ca="1" si="1"/>
        <v>#REF!</v>
      </c>
      <c r="F10" s="3110" t="e">
        <f t="shared" ca="1" si="2"/>
        <v>#REF!</v>
      </c>
    </row>
    <row r="11" spans="1:6" ht="14.25">
      <c r="A11" s="259"/>
      <c r="B11" s="3109" t="e">
        <f t="shared" ca="1" si="0"/>
        <v>#REF!</v>
      </c>
      <c r="C11" s="3105" t="s">
        <v>2947</v>
      </c>
      <c r="D11" s="1882"/>
      <c r="E11" s="3110" t="e">
        <f t="shared" ca="1" si="1"/>
        <v>#REF!</v>
      </c>
      <c r="F11" s="3110" t="e">
        <f t="shared" ca="1" si="2"/>
        <v>#REF!</v>
      </c>
    </row>
    <row r="12" spans="1:6" ht="14.25">
      <c r="A12" s="259"/>
      <c r="B12" s="3109" t="e">
        <f t="shared" ca="1" si="0"/>
        <v>#REF!</v>
      </c>
      <c r="C12" s="3105" t="s">
        <v>2947</v>
      </c>
      <c r="D12" s="1882"/>
      <c r="E12" s="3110" t="e">
        <f t="shared" ca="1" si="1"/>
        <v>#REF!</v>
      </c>
      <c r="F12" s="3110" t="e">
        <f t="shared" ca="1" si="2"/>
        <v>#REF!</v>
      </c>
    </row>
    <row r="13" spans="1:6" ht="14.25">
      <c r="A13" s="259"/>
      <c r="B13" s="3109" t="e">
        <f t="shared" ca="1" si="0"/>
        <v>#REF!</v>
      </c>
      <c r="C13" s="3105" t="s">
        <v>2947</v>
      </c>
      <c r="D13" s="1882"/>
      <c r="E13" s="3110" t="e">
        <f t="shared" ca="1" si="1"/>
        <v>#REF!</v>
      </c>
      <c r="F13" s="3110" t="e">
        <f t="shared" ca="1" si="2"/>
        <v>#REF!</v>
      </c>
    </row>
    <row r="14" spans="1:6" ht="14.25">
      <c r="A14" s="3103"/>
      <c r="B14" s="3109" t="e">
        <f t="shared" ca="1" si="0"/>
        <v>#REF!</v>
      </c>
      <c r="C14" s="3105" t="s">
        <v>2947</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628</v>
      </c>
      <c r="B1" s="737"/>
      <c r="C1" s="772"/>
      <c r="D1" s="2051"/>
      <c r="E1" s="2388" t="s">
        <v>2377</v>
      </c>
      <c r="F1" s="2389">
        <f ca="1">J54</f>
        <v>-1.5</v>
      </c>
      <c r="G1" s="773">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4">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5" t="s">
        <v>695</v>
      </c>
      <c r="I3" s="2058"/>
      <c r="J3" s="2058"/>
      <c r="K3" s="2059"/>
      <c r="L3" s="2058"/>
      <c r="M3" s="2058"/>
    </row>
    <row r="4" spans="1:25" ht="18" customHeight="1">
      <c r="A4" s="1646" t="s">
        <v>696</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697</v>
      </c>
      <c r="D5" s="2056"/>
      <c r="E5" s="2057"/>
      <c r="F5" s="2057"/>
      <c r="G5" s="1590"/>
      <c r="H5" s="775"/>
      <c r="I5" s="2058"/>
      <c r="J5" s="2058"/>
      <c r="K5" s="2059"/>
      <c r="L5" s="2058"/>
      <c r="M5" s="2058"/>
    </row>
    <row r="6" spans="1:25" ht="18" customHeight="1">
      <c r="A6" s="1829" t="s">
        <v>698</v>
      </c>
      <c r="B6" s="1821" t="s">
        <v>699</v>
      </c>
      <c r="C6" s="1821" t="s">
        <v>632</v>
      </c>
      <c r="D6" s="1821" t="s">
        <v>633</v>
      </c>
      <c r="E6" s="778" t="s">
        <v>634</v>
      </c>
      <c r="F6" s="779"/>
      <c r="G6" s="1592"/>
      <c r="H6" s="1829" t="s">
        <v>630</v>
      </c>
      <c r="I6" s="1821" t="s">
        <v>631</v>
      </c>
      <c r="J6" s="1821" t="s">
        <v>632</v>
      </c>
      <c r="K6" s="1821" t="s">
        <v>633</v>
      </c>
      <c r="L6" s="778" t="s">
        <v>634</v>
      </c>
      <c r="M6" s="779"/>
    </row>
    <row r="7" spans="1:25" ht="18" customHeight="1">
      <c r="A7" s="780">
        <v>1</v>
      </c>
      <c r="B7" s="781" t="s">
        <v>2461</v>
      </c>
      <c r="C7" s="53">
        <f ca="1">C8+C12+C14</f>
        <v>0</v>
      </c>
      <c r="D7" s="2497" t="s">
        <v>2464</v>
      </c>
      <c r="E7" s="2491"/>
      <c r="F7" s="2492"/>
      <c r="G7" s="1592"/>
      <c r="H7" s="780">
        <v>1</v>
      </c>
      <c r="I7" s="781" t="s">
        <v>2461</v>
      </c>
      <c r="J7" s="53">
        <f ca="1">J8+J12+J14</f>
        <v>0</v>
      </c>
      <c r="K7" s="2497" t="s">
        <v>2464</v>
      </c>
      <c r="L7" s="2491"/>
      <c r="M7" s="2492"/>
    </row>
    <row r="8" spans="1:25" ht="18" customHeight="1">
      <c r="A8" s="1831" t="s">
        <v>1825</v>
      </c>
      <c r="B8" s="3451" t="s">
        <v>2466</v>
      </c>
      <c r="C8" s="1826">
        <f ca="1">ROUND(F8*F10*F9*(1-F11)/10000,0)</f>
        <v>0</v>
      </c>
      <c r="D8" s="1823" t="s">
        <v>2537</v>
      </c>
      <c r="E8" s="61" t="s">
        <v>637</v>
      </c>
      <c r="F8" s="784">
        <f ca="1">INDIRECT("'数据-取费表'!u"&amp;$G$1)</f>
        <v>0</v>
      </c>
      <c r="G8" s="1592"/>
      <c r="H8" s="2505" t="s">
        <v>1825</v>
      </c>
      <c r="I8" s="3451" t="s">
        <v>2466</v>
      </c>
      <c r="J8" s="782">
        <f ca="1">ROUND(M8*M10*M9*(1-M11)/10000,0)</f>
        <v>0</v>
      </c>
      <c r="K8" s="340" t="s">
        <v>2537</v>
      </c>
      <c r="L8" s="783" t="s">
        <v>1739</v>
      </c>
      <c r="M8" s="784">
        <f ca="1">INDIRECT("'数据-取费表'!z"&amp;$G$1)</f>
        <v>0</v>
      </c>
    </row>
    <row r="9" spans="1:25" ht="18" customHeight="1">
      <c r="A9" s="2501"/>
      <c r="B9" s="3452"/>
      <c r="C9" s="1827"/>
      <c r="D9" s="1824"/>
      <c r="E9" s="61" t="s">
        <v>638</v>
      </c>
      <c r="F9" s="784">
        <f ca="1">IF(INDIRECT("'数据-取费表'!ah"&amp;$G$1)="",INDIRECT("'数据-取费表'!k"&amp;$G$1),INDIRECT("'数据-取费表'!ah"&amp;$G$1))</f>
        <v>0</v>
      </c>
      <c r="G9" s="1592"/>
      <c r="H9" s="2490"/>
      <c r="I9" s="3452"/>
      <c r="J9" s="787"/>
      <c r="K9" s="788"/>
      <c r="L9" s="783" t="s">
        <v>1740</v>
      </c>
      <c r="M9" s="784">
        <f ca="1">F9</f>
        <v>0</v>
      </c>
    </row>
    <row r="10" spans="1:25" ht="18" customHeight="1">
      <c r="A10" s="2494"/>
      <c r="B10" s="3453"/>
      <c r="C10" s="1827"/>
      <c r="D10" s="1824"/>
      <c r="E10" s="61" t="s">
        <v>639</v>
      </c>
      <c r="F10" s="784">
        <f ca="1">INDIRECT("'数据-取费表'!ai"&amp;$G$1)</f>
        <v>0</v>
      </c>
      <c r="G10" s="1592"/>
      <c r="H10" s="2490"/>
      <c r="I10" s="3453"/>
      <c r="J10" s="787"/>
      <c r="K10" s="788"/>
      <c r="L10" s="783" t="s">
        <v>1741</v>
      </c>
      <c r="M10" s="784">
        <f ca="1">INDIRECT("'数据-取费表'!ai"&amp;$G$1)</f>
        <v>0</v>
      </c>
    </row>
    <row r="11" spans="1:25" ht="18" customHeight="1">
      <c r="A11" s="785"/>
      <c r="B11" s="3454"/>
      <c r="C11" s="1827"/>
      <c r="D11" s="1824"/>
      <c r="E11" s="61" t="s">
        <v>640</v>
      </c>
      <c r="F11" s="793">
        <f ca="1">INDIRECT("'数据-取费表'!w"&amp;$G$1)</f>
        <v>0</v>
      </c>
      <c r="G11" s="1592"/>
      <c r="H11" s="2506"/>
      <c r="I11" s="3453"/>
      <c r="J11" s="787"/>
      <c r="K11" s="788"/>
      <c r="L11" s="794" t="s">
        <v>1742</v>
      </c>
      <c r="M11" s="795">
        <f ca="1">INDIRECT("'数据-取费表'!ab"&amp;$G$1)</f>
        <v>0</v>
      </c>
    </row>
    <row r="12" spans="1:25" ht="18" customHeight="1">
      <c r="A12" s="1831" t="s">
        <v>1826</v>
      </c>
      <c r="B12" s="2495" t="s">
        <v>2462</v>
      </c>
      <c r="C12" s="798">
        <f ca="1">ROUND(IF(F12="押一",C8/12*F13,IF(F12="押二",C8/12*2*F13,IF(F12="押三",C8/12*3*F13,C13*F13))),0)</f>
        <v>0</v>
      </c>
      <c r="D12" s="2502" t="s">
        <v>2976</v>
      </c>
      <c r="E12" s="2499" t="s">
        <v>2467</v>
      </c>
      <c r="F12" s="2622"/>
      <c r="G12" s="1592"/>
      <c r="H12" s="2562" t="s">
        <v>1826</v>
      </c>
      <c r="I12" s="2567" t="s">
        <v>2462</v>
      </c>
      <c r="J12" s="782">
        <f ca="1">ROUND(IF(M12="押一",J8/12*M13,IF(M12="押二",J8/12*2*M13,IF(M12="押三",J8/12*3*M13,J13*M13))),0)</f>
        <v>0</v>
      </c>
      <c r="K12" s="2502" t="s">
        <v>2976</v>
      </c>
      <c r="L12" s="2499" t="s">
        <v>2467</v>
      </c>
      <c r="M12" s="2622"/>
    </row>
    <row r="13" spans="1:25" ht="18" customHeight="1">
      <c r="A13" s="789"/>
      <c r="B13" s="2496" t="s">
        <v>2576</v>
      </c>
      <c r="C13" s="2500"/>
      <c r="D13" s="788"/>
      <c r="E13" s="2499" t="s">
        <v>2459</v>
      </c>
      <c r="F13" s="795">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1">
        <f ca="1">ROUND(C31*F15,0)</f>
        <v>0</v>
      </c>
      <c r="D15" s="1835" t="s">
        <v>642</v>
      </c>
      <c r="E15" s="794" t="s">
        <v>643</v>
      </c>
      <c r="F15" s="799">
        <f ca="1">INDIRECT("'数据-取费表'!y"&amp;$G$1)</f>
        <v>0</v>
      </c>
      <c r="G15" s="1592"/>
      <c r="H15" s="1830" t="s">
        <v>1827</v>
      </c>
      <c r="I15" s="1828" t="s">
        <v>644</v>
      </c>
      <c r="J15" s="1820">
        <f ca="1">ROUND(J16*J17,0)</f>
        <v>0</v>
      </c>
      <c r="K15" s="1822" t="s">
        <v>642</v>
      </c>
      <c r="L15" s="800"/>
      <c r="M15" s="801"/>
    </row>
    <row r="16" spans="1:25" ht="18" customHeight="1">
      <c r="A16" s="802" t="s">
        <v>1876</v>
      </c>
      <c r="B16" s="783" t="s">
        <v>645</v>
      </c>
      <c r="C16" s="803">
        <f ca="1">INDIRECT("'数据-取费表'!m"&amp;$G$1)+INDIRECT("'数据-取费表'!t"&amp;$G$1)</f>
        <v>0</v>
      </c>
      <c r="D16" s="1980" t="s">
        <v>646</v>
      </c>
      <c r="E16" s="1981"/>
      <c r="F16" s="804"/>
      <c r="G16" s="1592"/>
      <c r="H16" s="802" t="s">
        <v>2072</v>
      </c>
      <c r="I16" s="2232" t="s">
        <v>2828</v>
      </c>
      <c r="J16" s="53">
        <f ca="1">C31</f>
        <v>0</v>
      </c>
      <c r="K16" s="26"/>
      <c r="L16" s="800"/>
      <c r="M16" s="801"/>
    </row>
    <row r="17" spans="1:25" s="2065" customFormat="1" ht="18" customHeight="1">
      <c r="A17" s="802" t="s">
        <v>1850</v>
      </c>
      <c r="B17" s="783" t="s">
        <v>647</v>
      </c>
      <c r="C17" s="53">
        <f ca="1">ROUND(C16*F17,0)</f>
        <v>0</v>
      </c>
      <c r="D17" s="805" t="s">
        <v>648</v>
      </c>
      <c r="E17" s="805" t="s">
        <v>649</v>
      </c>
      <c r="F17" s="806">
        <f>'数据-取费表'!B33</f>
        <v>0.03</v>
      </c>
      <c r="G17" s="1593"/>
      <c r="H17" s="802" t="s">
        <v>2073</v>
      </c>
      <c r="I17" s="783" t="s">
        <v>643</v>
      </c>
      <c r="J17" s="807">
        <f ca="1">INDIRECT("'数据-取费表'!ad"&amp;$G$1)</f>
        <v>0</v>
      </c>
      <c r="K17" s="26"/>
      <c r="L17" s="800"/>
      <c r="M17" s="801"/>
      <c r="N17" s="2064"/>
      <c r="O17" s="2064"/>
      <c r="P17" s="2064"/>
      <c r="Q17" s="2064"/>
      <c r="R17" s="2064"/>
      <c r="S17" s="2064"/>
      <c r="T17" s="2064"/>
      <c r="U17" s="2064"/>
      <c r="V17" s="2064"/>
      <c r="W17" s="2064"/>
      <c r="X17" s="2064"/>
      <c r="Y17" s="2064"/>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3"/>
      <c r="M18" s="56"/>
    </row>
    <row r="19" spans="1:25" s="2065"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2072</v>
      </c>
      <c r="I19" s="783" t="s">
        <v>656</v>
      </c>
      <c r="J19" s="53">
        <f ca="1">ROUND(IF(项目基本情况!B11="自然人",J7*M19,J20+J21+J22),0)</f>
        <v>0</v>
      </c>
      <c r="K19" s="1980" t="s">
        <v>657</v>
      </c>
      <c r="L19" s="1978" t="s">
        <v>658</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8" t="s">
        <v>661</v>
      </c>
      <c r="L20" s="783" t="s">
        <v>649</v>
      </c>
      <c r="M20" s="808">
        <f>'数据-取费表'!B41</f>
        <v>5.6000000000000001E-2</v>
      </c>
      <c r="N20" s="2064"/>
      <c r="O20" s="2064"/>
      <c r="P20" s="2064"/>
      <c r="Q20" s="2064"/>
      <c r="R20" s="2064"/>
      <c r="S20" s="2064"/>
      <c r="T20" s="2064"/>
      <c r="U20" s="2064"/>
      <c r="V20" s="2064"/>
      <c r="W20" s="2064"/>
      <c r="X20" s="2064"/>
      <c r="Y20" s="2064"/>
    </row>
    <row r="21" spans="1:25" ht="18" customHeight="1">
      <c r="A21" s="802" t="s">
        <v>1877</v>
      </c>
      <c r="B21" s="783" t="s">
        <v>662</v>
      </c>
      <c r="C21" s="53">
        <f ca="1">SUM(C16:C20)</f>
        <v>0</v>
      </c>
      <c r="D21" s="260" t="s">
        <v>663</v>
      </c>
      <c r="E21" s="1983"/>
      <c r="F21" s="56"/>
      <c r="G21" s="1592"/>
      <c r="H21" s="1831" t="s">
        <v>1850</v>
      </c>
      <c r="I21" s="783" t="s">
        <v>664</v>
      </c>
      <c r="J21" s="53">
        <f ca="1">IF(K21="按租金收入计税",ROUND(J7*M21,1),ROUND(C31*F35*0.7,1))</f>
        <v>0</v>
      </c>
      <c r="K21" s="810" t="s">
        <v>665</v>
      </c>
      <c r="L21" s="783" t="s">
        <v>649</v>
      </c>
      <c r="M21" s="808">
        <f>IF(K21="按租金收入计税",'数据-取费表'!B51,'数据-取费表'!B50)</f>
        <v>1.2E-2</v>
      </c>
    </row>
    <row r="22" spans="1:25" s="2065" customFormat="1" ht="18" customHeight="1">
      <c r="A22" s="802" t="s">
        <v>1878</v>
      </c>
      <c r="B22" s="783" t="s">
        <v>666</v>
      </c>
      <c r="C22" s="53">
        <f ca="1">ROUND(C21*F22,0)</f>
        <v>0</v>
      </c>
      <c r="D22" s="811" t="s">
        <v>667</v>
      </c>
      <c r="E22" s="783" t="s">
        <v>649</v>
      </c>
      <c r="F22" s="808">
        <f>'数据-取费表'!B37</f>
        <v>0.02</v>
      </c>
      <c r="G22" s="1593"/>
      <c r="H22" s="1833" t="s">
        <v>1851</v>
      </c>
      <c r="I22" s="1823" t="s">
        <v>668</v>
      </c>
      <c r="J22" s="54">
        <f ca="1">ROUND(M22*M23/10000,0)</f>
        <v>0</v>
      </c>
      <c r="K22" s="813" t="s">
        <v>669</v>
      </c>
      <c r="L22" s="783" t="s">
        <v>670</v>
      </c>
      <c r="M22" s="639">
        <f>'数据-取费表'!B52</f>
        <v>6</v>
      </c>
      <c r="N22" s="2064"/>
      <c r="O22" s="2064"/>
      <c r="P22" s="2064"/>
      <c r="Q22" s="2064"/>
      <c r="R22" s="2064"/>
      <c r="S22" s="2064"/>
      <c r="T22" s="2064"/>
      <c r="U22" s="2064"/>
      <c r="V22" s="2064"/>
      <c r="W22" s="2064"/>
      <c r="X22" s="2064"/>
      <c r="Y22" s="2064"/>
    </row>
    <row r="23" spans="1:25" s="2065" customFormat="1" ht="18" customHeight="1">
      <c r="A23" s="802" t="s">
        <v>1879</v>
      </c>
      <c r="B23" s="783" t="s">
        <v>671</v>
      </c>
      <c r="C23" s="53" t="s">
        <v>1</v>
      </c>
      <c r="D23" s="811" t="s">
        <v>672</v>
      </c>
      <c r="E23" s="783" t="s">
        <v>673</v>
      </c>
      <c r="F23" s="808">
        <f>'数据-取费表'!B38</f>
        <v>0.01</v>
      </c>
      <c r="G23" s="1593"/>
      <c r="H23" s="1834"/>
      <c r="I23" s="1825"/>
      <c r="J23" s="69"/>
      <c r="K23" s="815"/>
      <c r="L23" s="783" t="s">
        <v>674</v>
      </c>
      <c r="M23" s="784">
        <f ca="1">INDIRECT("'数据-取费表'!r"&amp;$G$1)</f>
        <v>0</v>
      </c>
      <c r="N23" s="2064"/>
      <c r="O23" s="2064"/>
      <c r="P23" s="2064"/>
      <c r="Q23" s="2064"/>
      <c r="R23" s="2064"/>
      <c r="S23" s="2064"/>
      <c r="T23" s="2064"/>
      <c r="U23" s="2064"/>
      <c r="V23" s="2064"/>
      <c r="W23" s="2064"/>
      <c r="X23" s="2064"/>
      <c r="Y23" s="2064"/>
    </row>
    <row r="24" spans="1:25" ht="18" customHeight="1">
      <c r="A24" s="802" t="s">
        <v>1880</v>
      </c>
      <c r="B24" s="783" t="s">
        <v>675</v>
      </c>
      <c r="C24" s="53"/>
      <c r="D24" s="2573" t="str">
        <f>IF(F25&lt;=1,"单利计息。","复利计息。")&amp;"建造成本、管理费用、销售费用产生的利息。"</f>
        <v>复利计息。建造成本、管理费用、销售费用产生的利息。</v>
      </c>
      <c r="E24" s="1983"/>
      <c r="F24" s="56"/>
      <c r="G24" s="1592"/>
      <c r="H24" s="1832" t="s">
        <v>2073</v>
      </c>
      <c r="I24" s="783" t="s">
        <v>676</v>
      </c>
      <c r="J24" s="53">
        <f ca="1">ROUND(J16*M24,0)</f>
        <v>0</v>
      </c>
      <c r="K24" s="1978" t="s">
        <v>677</v>
      </c>
      <c r="L24" s="783" t="s">
        <v>649</v>
      </c>
      <c r="M24" s="816">
        <f ca="1">INDIRECT("'数据-取费表'!Ak"&amp;$G$1)</f>
        <v>0</v>
      </c>
    </row>
    <row r="25" spans="1:25" s="2065" customFormat="1" ht="18" customHeight="1">
      <c r="A25" s="802" t="s">
        <v>1876</v>
      </c>
      <c r="B25" s="783" t="s">
        <v>2440</v>
      </c>
      <c r="C25" s="53">
        <f ca="1">ROUND(IF('数据-取费表'!B22&lt;=1,(C21+C22)*F26*F25/2,(C21+C22)*(POWER((1+F26),F25/2)-1)),0)</f>
        <v>0</v>
      </c>
      <c r="D25" s="2572" t="str">
        <f>IF(F25&lt;=1,"(建造成本+管理费用)×利率×(建设周期÷2)","(建造成本+管理费用)×((1+利率)^(建设周期÷2)-1)")</f>
        <v>(建造成本+管理费用)×((1+利率)^(建设周期÷2)-1)</v>
      </c>
      <c r="E25" s="783" t="s">
        <v>678</v>
      </c>
      <c r="F25" s="639">
        <f>'数据-取费表'!B20</f>
        <v>1.5</v>
      </c>
      <c r="G25" s="1593"/>
      <c r="H25" s="802" t="s">
        <v>1879</v>
      </c>
      <c r="I25" s="783" t="s">
        <v>679</v>
      </c>
      <c r="J25" s="53">
        <f ca="1">ROUND(J15*M25,0)</f>
        <v>0</v>
      </c>
      <c r="K25" s="1978" t="s">
        <v>680</v>
      </c>
      <c r="L25" s="783" t="s">
        <v>649</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1850</v>
      </c>
      <c r="B26" s="783" t="s">
        <v>681</v>
      </c>
      <c r="C26" s="53">
        <f ca="1">ROUND(IF('数据-取费表'!B22&lt;=1,F23*F26*F25/2,F23*(POWER((1+F26),F25/2)-1)),4)</f>
        <v>4.0000000000000002E-4</v>
      </c>
      <c r="D26" s="2572"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8" t="s">
        <v>683</v>
      </c>
      <c r="L26" s="783" t="s">
        <v>649</v>
      </c>
      <c r="M26" s="793">
        <f ca="1">INDIRECT("'数据-取费表'!Am"&amp;$G$1)</f>
        <v>0</v>
      </c>
      <c r="N26" s="2064"/>
      <c r="O26" s="2064"/>
      <c r="P26" s="2064"/>
      <c r="Q26" s="2064"/>
      <c r="R26" s="2064"/>
      <c r="S26" s="2064"/>
      <c r="T26" s="2064"/>
      <c r="U26" s="2064"/>
      <c r="V26" s="2064"/>
      <c r="W26" s="2064"/>
      <c r="X26" s="2064"/>
      <c r="Y26" s="2064"/>
    </row>
    <row r="27" spans="1:25" ht="18" customHeight="1">
      <c r="A27" s="802" t="s">
        <v>1882</v>
      </c>
      <c r="B27" s="783" t="s">
        <v>684</v>
      </c>
      <c r="C27" s="53"/>
      <c r="D27" s="260" t="s">
        <v>685</v>
      </c>
      <c r="E27" s="1983"/>
      <c r="F27" s="56"/>
      <c r="G27" s="1592"/>
      <c r="H27" s="796" t="s">
        <v>1829</v>
      </c>
      <c r="I27" s="3012" t="s">
        <v>2825</v>
      </c>
      <c r="J27" s="798">
        <f ca="1">J7-J18</f>
        <v>0</v>
      </c>
      <c r="K27" s="1980" t="s">
        <v>700</v>
      </c>
      <c r="L27" s="1982"/>
      <c r="M27" s="819"/>
    </row>
    <row r="28" spans="1:25" ht="18" customHeight="1">
      <c r="A28" s="802" t="s">
        <v>1876</v>
      </c>
      <c r="B28" s="783" t="s">
        <v>2441</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5"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2" t="s">
        <v>1873</v>
      </c>
      <c r="I31" s="3013" t="s">
        <v>2827</v>
      </c>
      <c r="J31" s="824">
        <f ca="1">ROUND(J28/(1+F45)^F46,0)</f>
        <v>0</v>
      </c>
      <c r="K31" s="825" t="s">
        <v>688</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1">
        <f ca="1">ROUND(C33+C38+C39+C40,0)</f>
        <v>0</v>
      </c>
      <c r="D32" s="1822" t="s">
        <v>652</v>
      </c>
      <c r="E32" s="2488"/>
      <c r="F32" s="2492"/>
      <c r="G32" s="2063"/>
      <c r="H32" s="2066"/>
      <c r="I32" s="2067"/>
      <c r="J32" s="2068"/>
      <c r="K32" s="2069"/>
      <c r="L32" s="2070"/>
      <c r="M32" s="2071"/>
    </row>
    <row r="33" spans="1:18" ht="18" customHeight="1">
      <c r="A33" s="802" t="s">
        <v>1877</v>
      </c>
      <c r="B33" s="783" t="s">
        <v>656</v>
      </c>
      <c r="C33" s="53">
        <f ca="1">ROUND(IF(项目基本情况!B11="自然人",C7*F33,C34+C35+C36),1)</f>
        <v>0</v>
      </c>
      <c r="D33" s="1980" t="s">
        <v>657</v>
      </c>
      <c r="E33" s="1978" t="s">
        <v>690</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1876</v>
      </c>
      <c r="B34" s="783" t="s">
        <v>660</v>
      </c>
      <c r="C34" s="53">
        <f ca="1">ROUND(C7*F34/1.05,1)</f>
        <v>0</v>
      </c>
      <c r="D34" s="1978" t="s">
        <v>661</v>
      </c>
      <c r="E34" s="783" t="s">
        <v>649</v>
      </c>
      <c r="F34" s="808">
        <f>'数据-取费表'!B41</f>
        <v>5.6000000000000001E-2</v>
      </c>
      <c r="G34" s="2063"/>
      <c r="H34" s="2072"/>
      <c r="I34" s="2073"/>
      <c r="J34" s="2074"/>
      <c r="K34" s="2075"/>
      <c r="L34" s="2076"/>
      <c r="M34" s="2077"/>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3"/>
      <c r="H35" s="2078"/>
      <c r="I35" s="2078"/>
      <c r="J35" s="2078"/>
      <c r="K35" s="2079"/>
      <c r="L35" s="2078"/>
      <c r="M35" s="2078"/>
    </row>
    <row r="36" spans="1:18" ht="18" customHeight="1">
      <c r="A36" s="812" t="s">
        <v>1881</v>
      </c>
      <c r="B36" s="340" t="s">
        <v>668</v>
      </c>
      <c r="C36" s="54">
        <f ca="1">ROUND(F36*F37/10000,1)</f>
        <v>0</v>
      </c>
      <c r="D36" s="813" t="s">
        <v>669</v>
      </c>
      <c r="E36" s="783" t="s">
        <v>670</v>
      </c>
      <c r="F36" s="639">
        <f>'数据-取费表'!B52</f>
        <v>6</v>
      </c>
      <c r="G36" s="2063"/>
      <c r="H36" s="2066"/>
      <c r="I36" s="3450"/>
      <c r="J36" s="2080"/>
      <c r="K36" s="2081"/>
      <c r="L36" s="2080"/>
      <c r="M36" s="2080"/>
    </row>
    <row r="37" spans="1:18" ht="18" customHeight="1">
      <c r="A37" s="814"/>
      <c r="B37" s="792"/>
      <c r="C37" s="69"/>
      <c r="D37" s="815"/>
      <c r="E37" s="783" t="s">
        <v>674</v>
      </c>
      <c r="F37" s="784">
        <f ca="1">INDIRECT("'数据-取费表'!r"&amp;$G$1)</f>
        <v>0</v>
      </c>
      <c r="G37" s="2063"/>
      <c r="H37" s="2066"/>
      <c r="I37" s="3450"/>
      <c r="J37" s="2078"/>
      <c r="K37" s="2079"/>
      <c r="L37" s="2078"/>
      <c r="M37" s="2078"/>
    </row>
    <row r="38" spans="1:18" ht="18" customHeight="1">
      <c r="A38" s="802" t="s">
        <v>1878</v>
      </c>
      <c r="B38" s="783" t="s">
        <v>676</v>
      </c>
      <c r="C38" s="53">
        <f ca="1">ROUND(C31*F38,1)</f>
        <v>0</v>
      </c>
      <c r="D38" s="1978" t="s">
        <v>691</v>
      </c>
      <c r="E38" s="783" t="s">
        <v>649</v>
      </c>
      <c r="F38" s="816">
        <f ca="1">INDIRECT("'数据-取费表'!Ak"&amp;$G$1)</f>
        <v>0</v>
      </c>
      <c r="G38" s="2063"/>
      <c r="H38" s="2078"/>
      <c r="I38" s="2082"/>
      <c r="J38" s="1989"/>
      <c r="K38" s="2083"/>
      <c r="L38" s="2078"/>
      <c r="M38" s="2078"/>
    </row>
    <row r="39" spans="1:18" ht="18" customHeight="1">
      <c r="A39" s="802" t="s">
        <v>1879</v>
      </c>
      <c r="B39" s="783" t="s">
        <v>679</v>
      </c>
      <c r="C39" s="53">
        <f ca="1">ROUND(C15*F39,1)</f>
        <v>0</v>
      </c>
      <c r="D39" s="1978" t="s">
        <v>680</v>
      </c>
      <c r="E39" s="783" t="s">
        <v>649</v>
      </c>
      <c r="F39" s="817">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2" t="s">
        <v>1877</v>
      </c>
      <c r="B42" s="834" t="s">
        <v>693</v>
      </c>
      <c r="C42" s="828">
        <f ca="1">C7-C32</f>
        <v>0</v>
      </c>
      <c r="D42" s="1980" t="s">
        <v>694</v>
      </c>
      <c r="E42" s="1982"/>
      <c r="F42" s="819"/>
      <c r="G42" s="2063"/>
      <c r="H42" s="2063"/>
      <c r="I42" s="2063"/>
      <c r="J42" s="2063"/>
      <c r="K42" s="2084"/>
      <c r="L42" s="2063"/>
      <c r="M42" s="2063"/>
    </row>
    <row r="43" spans="1:18" ht="18" customHeight="1">
      <c r="A43" s="802" t="s">
        <v>1878</v>
      </c>
      <c r="B43" s="834" t="s">
        <v>711</v>
      </c>
      <c r="C43" s="835">
        <f ca="1">ROUND(C15*F43,0)</f>
        <v>0</v>
      </c>
      <c r="D43" s="1355" t="s">
        <v>712</v>
      </c>
      <c r="E43" s="3121" t="s">
        <v>2964</v>
      </c>
      <c r="F43" s="3122">
        <f ca="1">INDIRECT("'数据-取费表'!j"&amp;$G$1)</f>
        <v>0</v>
      </c>
      <c r="G43" s="2063"/>
      <c r="H43" s="2063"/>
      <c r="I43" s="2063"/>
      <c r="J43" s="2063"/>
      <c r="K43" s="2084"/>
      <c r="L43" s="2063"/>
      <c r="M43" s="2063"/>
    </row>
    <row r="44" spans="1:18" ht="18" customHeight="1">
      <c r="A44" s="802" t="s">
        <v>1879</v>
      </c>
      <c r="B44" s="834" t="s">
        <v>713</v>
      </c>
      <c r="C44" s="1356">
        <f ca="1">C42-C43</f>
        <v>0</v>
      </c>
      <c r="D44" s="462" t="s">
        <v>714</v>
      </c>
      <c r="E44" s="463"/>
      <c r="F44" s="464"/>
      <c r="G44" s="2063"/>
      <c r="H44" s="2063"/>
      <c r="I44" s="2063"/>
      <c r="J44" s="2063"/>
      <c r="K44" s="2084"/>
      <c r="L44" s="2063"/>
      <c r="M44" s="2063"/>
    </row>
    <row r="45" spans="1:18" ht="18" customHeight="1">
      <c r="A45" s="802" t="s">
        <v>1880</v>
      </c>
      <c r="B45" s="1355" t="s">
        <v>715</v>
      </c>
      <c r="C45" s="3039">
        <f ca="1">ROUND(-PV(F45,F46,C44,0),0)</f>
        <v>0</v>
      </c>
      <c r="D45" s="1357" t="s">
        <v>716</v>
      </c>
      <c r="E45" s="805" t="s">
        <v>717</v>
      </c>
      <c r="F45" s="829">
        <f ca="1">INDIRECT("'数据-取费表'!h"&amp;$G$1)</f>
        <v>0</v>
      </c>
      <c r="G45" s="2063"/>
      <c r="H45" s="2063"/>
      <c r="I45" s="2063"/>
      <c r="J45" s="2063"/>
      <c r="K45" s="2084"/>
      <c r="L45" s="2063"/>
      <c r="M45" s="2063"/>
    </row>
    <row r="46" spans="1:18" ht="18" customHeight="1" thickBot="1">
      <c r="A46" s="830"/>
      <c r="B46" s="1358"/>
      <c r="C46" s="1359"/>
      <c r="D46" s="1360"/>
      <c r="E46" s="3123" t="s">
        <v>2967</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59" t="str">
        <f ca="1">IF(M48="住宅",0,IF(L49&gt;J52,L61,J61))</f>
        <v>0</v>
      </c>
      <c r="O47" s="2395" t="s">
        <v>2413</v>
      </c>
      <c r="P47" s="1592"/>
      <c r="Q47" s="1604"/>
      <c r="R47" s="1592"/>
    </row>
    <row r="48" spans="1:18" s="2060" customFormat="1" ht="18" customHeight="1" thickBot="1">
      <c r="A48" s="2085"/>
      <c r="C48" s="2088"/>
      <c r="D48" s="2089"/>
      <c r="E48" s="2089"/>
      <c r="F48" s="2090"/>
      <c r="G48" s="2091"/>
      <c r="I48" s="3149" t="s">
        <v>2347</v>
      </c>
      <c r="J48" s="2382"/>
      <c r="K48" s="3156" t="s">
        <v>2352</v>
      </c>
      <c r="L48" s="3160">
        <f ca="1">INDIRECT("'数据-取费表'!d"&amp;$G$1)</f>
        <v>0</v>
      </c>
      <c r="M48" s="3120"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5" t="s">
        <v>2348</v>
      </c>
      <c r="J49" s="2383"/>
      <c r="K49" s="3157"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5" t="s">
        <v>2349</v>
      </c>
      <c r="J50" s="2384"/>
      <c r="K50" s="3158"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5" t="s">
        <v>2350</v>
      </c>
      <c r="J51" s="3153">
        <f>SUMPRODUCT((I64:I66=J48)*(J63:L63=J49)*(J64:L66))</f>
        <v>0</v>
      </c>
      <c r="K51" s="3158" t="s">
        <v>2356</v>
      </c>
      <c r="L51" s="2385"/>
      <c r="O51" s="2402" t="s">
        <v>2386</v>
      </c>
      <c r="P51" s="2400" t="s">
        <v>2410</v>
      </c>
      <c r="Q51" s="2401">
        <f ca="1">C31</f>
        <v>0</v>
      </c>
      <c r="R51" s="2400" t="s">
        <v>2383</v>
      </c>
    </row>
    <row r="52" spans="1:18" s="2060" customFormat="1" ht="18" customHeight="1" thickBot="1">
      <c r="A52" s="2097"/>
      <c r="F52" s="2086"/>
      <c r="I52" s="3150" t="s">
        <v>2351</v>
      </c>
      <c r="J52" s="3154">
        <f>IF(J50="",J51,J50+J51-YEAR('数据-取费表'!B3))</f>
        <v>0</v>
      </c>
      <c r="K52" s="3125" t="s">
        <v>2357</v>
      </c>
      <c r="L52" s="3161">
        <f ca="1">ROUND(-PV(INDIRECT("'数据-取费表'!h"&amp;$G$1),L49,(C40-C14*J36),0),0)</f>
        <v>0</v>
      </c>
      <c r="O52" s="2402" t="s">
        <v>2387</v>
      </c>
      <c r="P52" s="2400" t="s">
        <v>2388</v>
      </c>
      <c r="Q52" s="2403" t="e">
        <f ca="1">J59</f>
        <v>#VALUE!</v>
      </c>
      <c r="R52" s="2404"/>
    </row>
    <row r="53" spans="1:18" s="2060" customFormat="1" ht="18" customHeight="1" thickBot="1">
      <c r="A53" s="2097"/>
      <c r="F53" s="2086"/>
      <c r="I53" s="3151" t="s">
        <v>2424</v>
      </c>
      <c r="J53" s="2386"/>
      <c r="K53" s="3151" t="s">
        <v>2423</v>
      </c>
      <c r="L53" s="2386"/>
      <c r="O53" s="2402" t="s">
        <v>2389</v>
      </c>
      <c r="P53" s="2400" t="s">
        <v>2390</v>
      </c>
      <c r="Q53" s="2403">
        <f>J53</f>
        <v>0</v>
      </c>
      <c r="R53" s="2404"/>
    </row>
    <row r="54" spans="1:18" s="2060" customFormat="1" ht="29.25" thickBot="1">
      <c r="A54" s="2097"/>
      <c r="I54" s="3152" t="s">
        <v>2981</v>
      </c>
      <c r="J54" s="3155">
        <f ca="1">IF(M48="住宅",MAX(J52,L49-'数据-取费表'!B20),MIN(J52,L49-'数据-取费表'!B20))</f>
        <v>-1.5</v>
      </c>
      <c r="K54" s="3455"/>
      <c r="L54" s="3456"/>
      <c r="O54" s="2402" t="s">
        <v>2391</v>
      </c>
      <c r="P54" s="2400" t="s">
        <v>2392</v>
      </c>
      <c r="Q54" s="2401">
        <f ca="1">J54</f>
        <v>-1.5</v>
      </c>
      <c r="R54" s="2400" t="s">
        <v>2393</v>
      </c>
    </row>
    <row r="55" spans="1:18" s="2060" customFormat="1" ht="18" customHeight="1" thickBot="1">
      <c r="A55" s="2097"/>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9" t="s">
        <v>2394</v>
      </c>
      <c r="P55" s="2400" t="s">
        <v>2411</v>
      </c>
      <c r="Q55" s="2401">
        <f ca="1">Q49+Q50</f>
        <v>0</v>
      </c>
      <c r="R55" s="2404" t="s">
        <v>2395</v>
      </c>
    </row>
    <row r="56" spans="1:18" s="2060" customFormat="1" ht="16.5" thickBot="1">
      <c r="A56" s="2097"/>
      <c r="B56" s="2098"/>
      <c r="C56" s="2098"/>
      <c r="I56" s="3164" t="s">
        <v>2358</v>
      </c>
      <c r="J56" s="3100" t="e">
        <f ca="1">ROUND(IF(J48="钢混",J58/J51,1-(1-2%)*(J51-J58)/J51),3)</f>
        <v>#VALUE!</v>
      </c>
      <c r="K56" s="3165" t="s">
        <v>2359</v>
      </c>
      <c r="L56" s="2387"/>
      <c r="O56" s="2405" t="s">
        <v>2414</v>
      </c>
      <c r="P56" s="1592"/>
      <c r="Q56" s="1604"/>
      <c r="R56" s="1592"/>
    </row>
    <row r="57" spans="1:18" s="2060" customFormat="1" ht="43.5" thickBot="1">
      <c r="A57" s="2097"/>
      <c r="B57" s="2098"/>
      <c r="C57" s="2098"/>
      <c r="I57" s="3166" t="s">
        <v>2360</v>
      </c>
      <c r="J57" s="3176" t="s">
        <v>1679</v>
      </c>
      <c r="K57" s="3125" t="s">
        <v>2365</v>
      </c>
      <c r="L57" s="1909">
        <f ca="1">IF(L49&lt;J52,"——",L49-J52)</f>
        <v>0</v>
      </c>
      <c r="O57" s="2396" t="s">
        <v>2378</v>
      </c>
      <c r="P57" s="2397" t="s">
        <v>2379</v>
      </c>
      <c r="Q57" s="2398" t="s">
        <v>2380</v>
      </c>
      <c r="R57" s="2397" t="s">
        <v>2381</v>
      </c>
    </row>
    <row r="58" spans="1:18" s="2060" customFormat="1" ht="29.25" thickBot="1">
      <c r="A58" s="2097"/>
      <c r="B58" s="2098"/>
      <c r="C58" s="2098"/>
      <c r="I58" s="3167" t="s">
        <v>2361</v>
      </c>
      <c r="J58" s="3168" t="str">
        <f ca="1">IF(OR(M48="住宅",J52&lt;L49,J57="是"),"——",J52-L49)</f>
        <v>——</v>
      </c>
      <c r="K58" s="3125"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7" t="s">
        <v>2362</v>
      </c>
      <c r="J59" s="3101" t="e">
        <f ca="1">IF(J56&lt;0.4,0.4,J56)</f>
        <v>#VALUE!</v>
      </c>
      <c r="K59" s="3125"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7" t="s">
        <v>2363</v>
      </c>
      <c r="J60" s="3168" t="str">
        <f ca="1">IF(OR(M48="住宅",J52&lt;L49,J57="是"),"——",ROUND(C30*J59,0))</f>
        <v>——</v>
      </c>
      <c r="K60" s="3125"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69" t="s">
        <v>2364</v>
      </c>
      <c r="J61" s="3170" t="str">
        <f ca="1">IF(OR(M48="住宅",J52&lt;L49,J57="是"),"0",ROUND(J60/(1+J53)^J54,0))</f>
        <v>0</v>
      </c>
      <c r="K61" s="3171" t="s">
        <v>2369</v>
      </c>
      <c r="L61" s="3170"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2" t="s">
        <v>2370</v>
      </c>
      <c r="J63" s="3173" t="s">
        <v>2371</v>
      </c>
      <c r="K63" s="3173" t="s">
        <v>2372</v>
      </c>
      <c r="L63" s="3173" t="s">
        <v>2353</v>
      </c>
      <c r="M63" s="3174" t="s">
        <v>2944</v>
      </c>
      <c r="O63" s="2402" t="s">
        <v>2391</v>
      </c>
      <c r="P63" s="2400" t="s">
        <v>2399</v>
      </c>
      <c r="Q63" s="2401">
        <f ca="1">L60</f>
        <v>0</v>
      </c>
      <c r="R63" s="2404" t="s">
        <v>2400</v>
      </c>
    </row>
    <row r="64" spans="1:18" s="2060" customFormat="1" ht="15.75" thickBot="1">
      <c r="A64" s="2097"/>
      <c r="B64" s="2098"/>
      <c r="C64" s="2098"/>
      <c r="I64" s="3172" t="s">
        <v>2373</v>
      </c>
      <c r="J64" s="3173">
        <v>70</v>
      </c>
      <c r="K64" s="3173">
        <v>50</v>
      </c>
      <c r="L64" s="3173">
        <v>80</v>
      </c>
      <c r="M64" s="3175">
        <v>0.02</v>
      </c>
      <c r="O64" s="2399" t="s">
        <v>2394</v>
      </c>
      <c r="P64" s="2400" t="s">
        <v>2411</v>
      </c>
      <c r="Q64" s="2401" t="e">
        <f ca="1">Q58+Q59</f>
        <v>#DIV/0!</v>
      </c>
      <c r="R64" s="2404" t="s">
        <v>2395</v>
      </c>
    </row>
    <row r="65" spans="1:18" s="2060" customFormat="1" ht="16.5" thickBot="1">
      <c r="A65" s="2097"/>
      <c r="B65" s="2098"/>
      <c r="C65" s="2098"/>
      <c r="I65" s="3172" t="s">
        <v>2374</v>
      </c>
      <c r="J65" s="3173">
        <v>50</v>
      </c>
      <c r="K65" s="3173">
        <v>35</v>
      </c>
      <c r="L65" s="3173">
        <v>60</v>
      </c>
      <c r="M65" s="845">
        <v>0</v>
      </c>
      <c r="O65" s="2405" t="s">
        <v>2418</v>
      </c>
      <c r="P65" s="1592"/>
      <c r="Q65" s="1604"/>
      <c r="R65" s="1592"/>
    </row>
    <row r="66" spans="1:18" s="2060" customFormat="1" ht="15.75" thickBot="1">
      <c r="A66" s="2097"/>
      <c r="B66" s="2098"/>
      <c r="C66" s="2098"/>
      <c r="I66" s="3172" t="s">
        <v>2375</v>
      </c>
      <c r="J66" s="3173">
        <v>40</v>
      </c>
      <c r="K66" s="3173">
        <v>30</v>
      </c>
      <c r="L66" s="3173">
        <v>50</v>
      </c>
      <c r="M66" s="3175">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9" t="s">
        <v>2579</v>
      </c>
      <c r="C1" s="3459"/>
      <c r="D1" s="3459"/>
      <c r="E1" s="3459"/>
      <c r="F1" s="3459"/>
      <c r="G1" s="3458" t="s">
        <v>2580</v>
      </c>
      <c r="H1" s="3458"/>
      <c r="I1" s="3458"/>
      <c r="J1" s="3458"/>
      <c r="K1" s="3458"/>
      <c r="L1" s="3458"/>
      <c r="N1" s="3458" t="s">
        <v>2581</v>
      </c>
      <c r="O1" s="3458"/>
      <c r="P1" s="3458"/>
      <c r="Q1" s="3458"/>
      <c r="R1" s="2655"/>
      <c r="S1" s="3458" t="s">
        <v>2582</v>
      </c>
      <c r="T1" s="3458"/>
      <c r="U1" s="3458"/>
      <c r="V1" s="3458"/>
      <c r="X1" s="3457" t="s">
        <v>2642</v>
      </c>
      <c r="Y1" s="3458"/>
      <c r="Z1" s="3458"/>
      <c r="AA1" s="3458"/>
      <c r="AB1" s="3458"/>
      <c r="AD1" s="3457" t="s">
        <v>2646</v>
      </c>
      <c r="AE1" s="3458"/>
      <c r="AF1" s="3458"/>
      <c r="AG1" s="3458"/>
      <c r="AH1" s="3458"/>
    </row>
    <row r="2" spans="1:34" s="2757" customFormat="1" ht="14.25" thickBot="1">
      <c r="B2" s="2765" t="s">
        <v>2583</v>
      </c>
      <c r="C2" s="2765" t="s">
        <v>2644</v>
      </c>
      <c r="D2" s="2758" t="s">
        <v>1645</v>
      </c>
      <c r="E2" s="2758" t="s">
        <v>1952</v>
      </c>
      <c r="F2" s="2765" t="s">
        <v>2645</v>
      </c>
      <c r="G2" s="2761"/>
      <c r="H2" s="2760"/>
      <c r="I2" s="2765" t="s">
        <v>2958</v>
      </c>
      <c r="J2" s="2758" t="s">
        <v>2960</v>
      </c>
      <c r="K2" s="2758" t="s">
        <v>2961</v>
      </c>
      <c r="L2" s="2765" t="s">
        <v>2962</v>
      </c>
      <c r="N2" s="2765" t="s">
        <v>2583</v>
      </c>
      <c r="O2" s="2758" t="s">
        <v>2959</v>
      </c>
      <c r="P2" s="2758" t="s">
        <v>1952</v>
      </c>
      <c r="Q2" s="2765" t="s">
        <v>2645</v>
      </c>
      <c r="R2" s="2759"/>
      <c r="S2" s="2765" t="s">
        <v>2583</v>
      </c>
      <c r="T2" s="2758" t="s">
        <v>2959</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3" customFormat="1" ht="14.25">
      <c r="A3" s="3145" t="s">
        <v>2971</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50" customFormat="1" ht="14.25">
      <c r="B4" s="2751"/>
      <c r="C4" s="2751"/>
      <c r="D4" s="2752"/>
      <c r="E4" s="2752"/>
      <c r="F4" s="2751"/>
      <c r="G4" s="2756"/>
      <c r="H4" s="2753"/>
      <c r="I4" s="3126"/>
      <c r="J4" s="3126"/>
      <c r="K4" s="3126"/>
      <c r="L4" s="3126"/>
      <c r="N4" s="2756"/>
      <c r="O4" s="2754"/>
      <c r="P4" s="2754"/>
      <c r="Q4" s="2754"/>
      <c r="R4" s="2754"/>
      <c r="S4" s="2756"/>
      <c r="T4" s="2754"/>
      <c r="U4" s="2754"/>
      <c r="V4" s="2754"/>
      <c r="W4" s="3142"/>
      <c r="X4" s="2755"/>
      <c r="Y4" s="2755"/>
      <c r="Z4" s="2755"/>
      <c r="AA4" s="2755"/>
      <c r="AB4" s="2755"/>
      <c r="AD4" s="2675"/>
      <c r="AE4" s="2675"/>
      <c r="AF4" s="2675"/>
      <c r="AG4" s="2675"/>
      <c r="AH4" s="2675"/>
    </row>
    <row r="5" spans="1:34" s="3114" customFormat="1">
      <c r="A5" s="3112" t="s">
        <v>2982</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3">
        <v>3</v>
      </c>
      <c r="I5" s="3127">
        <v>1.49</v>
      </c>
      <c r="J5" s="3127">
        <v>0.96</v>
      </c>
      <c r="K5" s="3127">
        <v>1.58</v>
      </c>
      <c r="L5" s="3127">
        <v>2.44</v>
      </c>
      <c r="N5" s="2763">
        <f t="shared" ref="N5" si="6">I5/100</f>
        <v>1.49E-2</v>
      </c>
      <c r="O5" s="2763">
        <f t="shared" ref="O5" si="7">J5/100</f>
        <v>9.5999999999999992E-3</v>
      </c>
      <c r="P5" s="2763">
        <f t="shared" ref="P5" si="8">K5/100</f>
        <v>1.5800000000000002E-2</v>
      </c>
      <c r="Q5" s="2763">
        <f t="shared" ref="Q5" si="9">L5/100</f>
        <v>2.4399999999999998E-2</v>
      </c>
      <c r="R5" s="3115"/>
      <c r="S5" s="3116"/>
      <c r="T5" s="3115"/>
      <c r="U5" s="3115"/>
      <c r="V5" s="3115"/>
      <c r="W5" s="3143" t="s">
        <v>2972</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2" customFormat="1" ht="13.5" thickBot="1">
      <c r="A6" s="2656" t="s">
        <v>2983</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2"/>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2978</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2"/>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2969</v>
      </c>
      <c r="B8" s="3147">
        <v>439</v>
      </c>
      <c r="C8" s="3147">
        <v>327</v>
      </c>
      <c r="D8" s="3147">
        <f t="shared" si="23"/>
        <v>327</v>
      </c>
      <c r="E8" s="3147">
        <v>627</v>
      </c>
      <c r="F8" s="3148">
        <v>283</v>
      </c>
      <c r="G8" s="3130">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2973</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2"/>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1"/>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2"/>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6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6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6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6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6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6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6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6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6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6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6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6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63">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64"/>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64"/>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65"/>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6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6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6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6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6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6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6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6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6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6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6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6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6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6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6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6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6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6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6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6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6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6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6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6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6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6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6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6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6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6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6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6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6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6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6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6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60">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61">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61">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62">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60">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61">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61">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6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56.25">
      <c r="A7" s="1796"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本次估价对象为出让国有建设用地使用权，《国有土地使用证》[]证载土地终止日期为住宅2068年10月13日地下车库2048年10月13日。截至估价期日，出让国有建设用地使用权剩余土地使用年限为。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0" sqref="K1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4" t="s">
        <v>719</v>
      </c>
      <c r="C1" s="2625" t="s">
        <v>720</v>
      </c>
      <c r="D1" s="2626" t="s">
        <v>923</v>
      </c>
      <c r="E1" s="2627"/>
      <c r="F1" s="2808" t="s">
        <v>3147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23">
        <f>ROUND(B3*D3/10000,0)</f>
        <v>14567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23412</v>
      </c>
      <c r="C3" s="851" t="s">
        <v>722</v>
      </c>
      <c r="D3" s="850">
        <f>SUMIF('数据-汇总表'!$C19:$C33,D1,'数据-汇总表'!$E19:$E33)</f>
        <v>6222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521</v>
      </c>
      <c r="B4" s="512"/>
      <c r="C4" s="3393" t="s">
        <v>522</v>
      </c>
      <c r="D4" s="3394"/>
      <c r="E4" s="3417" t="s">
        <v>523</v>
      </c>
      <c r="F4" s="3418"/>
      <c r="G4" s="3393" t="s">
        <v>524</v>
      </c>
      <c r="H4" s="3394"/>
      <c r="I4" s="3393" t="s">
        <v>525</v>
      </c>
      <c r="J4" s="3394"/>
      <c r="K4" s="852" t="s">
        <v>526</v>
      </c>
      <c r="L4" s="2134"/>
      <c r="M4" s="2135"/>
      <c r="N4" s="2135"/>
      <c r="O4" s="2135"/>
      <c r="P4" s="3395" t="s">
        <v>527</v>
      </c>
      <c r="Q4" s="3396"/>
      <c r="R4" s="3381" t="s">
        <v>523</v>
      </c>
      <c r="S4" s="3382"/>
      <c r="T4" s="3381" t="s">
        <v>524</v>
      </c>
      <c r="U4" s="3382"/>
      <c r="V4" s="3401" t="s">
        <v>525</v>
      </c>
      <c r="W4" s="3401"/>
      <c r="X4" s="1567"/>
      <c r="Y4" s="3381" t="s">
        <v>527</v>
      </c>
      <c r="Z4" s="3382"/>
      <c r="AA4" s="3376" t="s">
        <v>523</v>
      </c>
      <c r="AB4" s="3376" t="s">
        <v>524</v>
      </c>
      <c r="AC4" s="3376" t="s">
        <v>525</v>
      </c>
    </row>
    <row r="5" spans="1:29" ht="15">
      <c r="A5" s="514"/>
      <c r="B5" s="515"/>
      <c r="C5" s="3469" t="s">
        <v>3148</v>
      </c>
      <c r="D5" s="3405"/>
      <c r="E5" s="3467" t="s">
        <v>3176</v>
      </c>
      <c r="F5" s="3468"/>
      <c r="G5" s="3469" t="s">
        <v>3181</v>
      </c>
      <c r="H5" s="3405"/>
      <c r="I5" s="3469" t="s">
        <v>3182</v>
      </c>
      <c r="J5" s="3405"/>
      <c r="K5" s="85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02" t="s">
        <v>3118</v>
      </c>
      <c r="D6" s="3403"/>
      <c r="E6" s="3470" t="s">
        <v>3118</v>
      </c>
      <c r="F6" s="3471"/>
      <c r="G6" s="3402" t="s">
        <v>3149</v>
      </c>
      <c r="H6" s="3403"/>
      <c r="I6" s="3402" t="s">
        <v>3118</v>
      </c>
      <c r="J6" s="3403"/>
      <c r="K6" s="85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f>C7</f>
        <v>43316</v>
      </c>
      <c r="F7" s="521">
        <f>SUMIF(58:58,YEAR(E7)&amp;"-"&amp;MONTH(E7),59:59)</f>
        <v>100</v>
      </c>
      <c r="G7" s="522">
        <f>C7</f>
        <v>43316</v>
      </c>
      <c r="H7" s="519">
        <f>SUMIF(58:58,YEAR(G7)&amp;"-"&amp;MONTH(G7),59:59)</f>
        <v>100</v>
      </c>
      <c r="I7" s="522">
        <f>C7</f>
        <v>43316</v>
      </c>
      <c r="J7" s="519">
        <f>SUMIF(58:58,YEAR(I7)&amp;"-"&amp;MONTH(I7),59:59)</f>
        <v>100</v>
      </c>
      <c r="K7" s="854"/>
      <c r="L7" s="2136"/>
      <c r="M7" s="2137"/>
      <c r="N7" s="2137"/>
      <c r="O7" s="2137"/>
      <c r="P7" s="3379" t="s">
        <v>530</v>
      </c>
      <c r="Q7" s="3388"/>
      <c r="R7" s="1568" t="s">
        <v>13</v>
      </c>
      <c r="S7" s="1569">
        <f t="shared" ref="S7:S15" si="0">F7</f>
        <v>100</v>
      </c>
      <c r="T7" s="1568" t="s">
        <v>13</v>
      </c>
      <c r="U7" s="1569">
        <f t="shared" ref="U7:U15" si="1">H7</f>
        <v>100</v>
      </c>
      <c r="V7" s="1568" t="s">
        <v>13</v>
      </c>
      <c r="W7" s="1569">
        <f t="shared" ref="W7:W15" si="2">J7</f>
        <v>100</v>
      </c>
      <c r="X7" s="1570"/>
      <c r="Y7" s="3379" t="s">
        <v>530</v>
      </c>
      <c r="Z7" s="3380"/>
      <c r="AA7" s="1571">
        <f>D7/F7</f>
        <v>1</v>
      </c>
      <c r="AB7" s="1571">
        <f>D7/H7</f>
        <v>1</v>
      </c>
      <c r="AC7" s="1571">
        <f>D7/J7</f>
        <v>1</v>
      </c>
    </row>
    <row r="8" spans="1:29" s="1219" customFormat="1" ht="15.75" thickBot="1">
      <c r="A8" s="2914"/>
      <c r="B8" s="2921" t="s">
        <v>531</v>
      </c>
      <c r="C8" s="524" t="s">
        <v>576</v>
      </c>
      <c r="D8" s="519">
        <v>100</v>
      </c>
      <c r="E8" s="855" t="s">
        <v>3092</v>
      </c>
      <c r="F8" s="521">
        <f>SUMIF(61:61,E8,62:62)-SUMIF(61:61,C8,62:62)+100</f>
        <v>100</v>
      </c>
      <c r="G8" s="524" t="s">
        <v>3092</v>
      </c>
      <c r="H8" s="519">
        <f>SUMIF(61:61,G8,62:62)-SUMIF(61:61,C8,62:62)+100</f>
        <v>100</v>
      </c>
      <c r="I8" s="855" t="s">
        <v>3092</v>
      </c>
      <c r="J8" s="519">
        <f>SUMIF(61:61,I8,62:62)-SUMIF(61:61,C8,62:62)+100</f>
        <v>100</v>
      </c>
      <c r="K8" s="854"/>
      <c r="L8" s="2136"/>
      <c r="M8" s="2137"/>
      <c r="N8" s="2137"/>
      <c r="O8" s="2137"/>
      <c r="P8" s="3379" t="s">
        <v>533</v>
      </c>
      <c r="Q8" s="3380"/>
      <c r="R8" s="1568" t="s">
        <v>13</v>
      </c>
      <c r="S8" s="1569">
        <f t="shared" si="0"/>
        <v>100</v>
      </c>
      <c r="T8" s="1568" t="s">
        <v>13</v>
      </c>
      <c r="U8" s="1569">
        <f t="shared" si="1"/>
        <v>100</v>
      </c>
      <c r="V8" s="1568" t="s">
        <v>13</v>
      </c>
      <c r="W8" s="1569">
        <f t="shared" si="2"/>
        <v>100</v>
      </c>
      <c r="X8" s="1570"/>
      <c r="Y8" s="3379" t="s">
        <v>533</v>
      </c>
      <c r="Z8" s="3380"/>
      <c r="AA8" s="1571">
        <f t="shared" ref="AA8:AA46" si="3">D8/F8</f>
        <v>1</v>
      </c>
      <c r="AB8" s="1571">
        <f t="shared" ref="AB8:AB46" si="4">D8/H8</f>
        <v>1</v>
      </c>
      <c r="AC8" s="1571">
        <f t="shared" ref="AC8:AC46" si="5">D8/J8</f>
        <v>1</v>
      </c>
    </row>
    <row r="9" spans="1:29" s="1219" customFormat="1" ht="15">
      <c r="A9" s="2915"/>
      <c r="B9" s="2922" t="s">
        <v>2759</v>
      </c>
      <c r="C9" s="3191" t="s">
        <v>3150</v>
      </c>
      <c r="D9" s="253">
        <v>100</v>
      </c>
      <c r="E9" s="857" t="s">
        <v>923</v>
      </c>
      <c r="F9" s="858">
        <f>SUMIF(63:63,E9,64:64)-SUMIF(63:63,C9,64:64)+100</f>
        <v>100</v>
      </c>
      <c r="G9" s="859" t="s">
        <v>923</v>
      </c>
      <c r="H9" s="253">
        <f>SUMIF(63:63,G9,64:64)-SUMIF(63:63,C9,64:64)+100</f>
        <v>100</v>
      </c>
      <c r="I9" s="859" t="s">
        <v>923</v>
      </c>
      <c r="J9" s="253">
        <f>SUMIF(63:63,I9,64:64)-SUMIF(63:63,C9,64:64)+100</f>
        <v>100</v>
      </c>
      <c r="K9" s="854"/>
      <c r="L9" s="2136"/>
      <c r="M9" s="2137"/>
      <c r="N9" s="2137"/>
      <c r="O9" s="2138"/>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t="s">
        <v>3151</v>
      </c>
      <c r="D10" s="254">
        <v>100</v>
      </c>
      <c r="E10" s="861" t="s">
        <v>3177</v>
      </c>
      <c r="F10" s="862">
        <f>SUMIF(65:65,E10,66:66)-SUMIF(65:65,C10,66:66)+100</f>
        <v>102</v>
      </c>
      <c r="G10" s="860" t="s">
        <v>3177</v>
      </c>
      <c r="H10" s="254">
        <f>SUMIF(65:65,G10,66:66)-SUMIF(65:65,C10,66:66)+100</f>
        <v>102</v>
      </c>
      <c r="I10" s="860" t="s">
        <v>3177</v>
      </c>
      <c r="J10" s="254">
        <f>SUMIF(65:65,I10,66:66)-SUMIF(65:65,C10,66:66)+100</f>
        <v>102</v>
      </c>
      <c r="K10" s="863">
        <v>2</v>
      </c>
      <c r="L10" s="2139"/>
      <c r="M10" s="2179"/>
      <c r="N10" s="2179"/>
      <c r="O10" s="2140"/>
      <c r="P10" s="3387"/>
      <c r="Q10" s="1150" t="str">
        <f t="shared" si="6"/>
        <v>土地使用年限（年）</v>
      </c>
      <c r="R10" s="1568" t="s">
        <v>8</v>
      </c>
      <c r="S10" s="1569">
        <f t="shared" si="0"/>
        <v>102</v>
      </c>
      <c r="T10" s="1568" t="s">
        <v>8</v>
      </c>
      <c r="U10" s="1569">
        <f t="shared" si="1"/>
        <v>102</v>
      </c>
      <c r="V10" s="1568" t="s">
        <v>8</v>
      </c>
      <c r="W10" s="1569">
        <f t="shared" si="2"/>
        <v>102</v>
      </c>
      <c r="X10" s="1570"/>
      <c r="Y10" s="3344"/>
      <c r="Z10" s="1149" t="str">
        <f t="shared" si="7"/>
        <v>土地使用年限（年）</v>
      </c>
      <c r="AA10" s="1571">
        <f t="shared" si="3"/>
        <v>0.98039215686274506</v>
      </c>
      <c r="AB10" s="1571">
        <f t="shared" si="4"/>
        <v>0.98039215686274506</v>
      </c>
      <c r="AC10" s="1571">
        <f t="shared" si="5"/>
        <v>0.98039215686274506</v>
      </c>
    </row>
    <row r="11" spans="1:29" ht="15.75" thickBot="1">
      <c r="A11" s="2917"/>
      <c r="B11" s="2921" t="s">
        <v>2761</v>
      </c>
      <c r="C11" s="532">
        <f>'数据-汇总表'!I7</f>
        <v>2.38</v>
      </c>
      <c r="D11" s="254">
        <v>100</v>
      </c>
      <c r="E11" s="533">
        <v>1.5</v>
      </c>
      <c r="F11" s="862">
        <f>LOOKUP(E11,68:68,69:69)-LOOKUP(C11,68:68,69:69)+100</f>
        <v>102</v>
      </c>
      <c r="G11" s="532">
        <v>2.5</v>
      </c>
      <c r="H11" s="254">
        <f>LOOKUP(G11,68:68,69:69)-LOOKUP(C11,68:68,69:69)+100</f>
        <v>100</v>
      </c>
      <c r="I11" s="532">
        <v>2</v>
      </c>
      <c r="J11" s="254">
        <f>LOOKUP(I11,68:68,69:69)-LOOKUP(C11,68:68,69:69)+100</f>
        <v>100</v>
      </c>
      <c r="K11" s="863">
        <v>2</v>
      </c>
      <c r="L11" s="2141"/>
      <c r="M11" s="2135"/>
      <c r="N11" s="2135"/>
      <c r="O11" s="2142"/>
      <c r="P11" s="3387"/>
      <c r="Q11" s="1150" t="str">
        <f t="shared" si="6"/>
        <v>容积率</v>
      </c>
      <c r="R11" s="1568" t="s">
        <v>11</v>
      </c>
      <c r="S11" s="1569">
        <f t="shared" si="0"/>
        <v>102</v>
      </c>
      <c r="T11" s="1568" t="s">
        <v>11</v>
      </c>
      <c r="U11" s="1569">
        <f t="shared" si="1"/>
        <v>100</v>
      </c>
      <c r="V11" s="1568" t="s">
        <v>11</v>
      </c>
      <c r="W11" s="1569">
        <f t="shared" si="2"/>
        <v>100</v>
      </c>
      <c r="X11" s="1570"/>
      <c r="Y11" s="3344"/>
      <c r="Z11" s="1149" t="str">
        <f t="shared" si="7"/>
        <v>容积率</v>
      </c>
      <c r="AA11" s="1571">
        <f t="shared" si="3"/>
        <v>0.98039215686274506</v>
      </c>
      <c r="AB11" s="1571">
        <f t="shared" si="4"/>
        <v>1</v>
      </c>
      <c r="AC11" s="1571">
        <f t="shared" si="5"/>
        <v>1</v>
      </c>
    </row>
    <row r="12" spans="1:29" s="1219" customFormat="1" ht="15" hidden="1">
      <c r="A12" s="2918"/>
      <c r="B12" s="2924">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387"/>
      <c r="Q12" s="1150">
        <f t="shared" si="6"/>
        <v>111</v>
      </c>
      <c r="R12" s="1568" t="s">
        <v>11</v>
      </c>
      <c r="S12" s="1569">
        <f t="shared" si="0"/>
        <v>100</v>
      </c>
      <c r="T12" s="1568" t="s">
        <v>11</v>
      </c>
      <c r="U12" s="1569">
        <f t="shared" si="1"/>
        <v>100</v>
      </c>
      <c r="V12" s="1568" t="s">
        <v>11</v>
      </c>
      <c r="W12" s="1569">
        <f t="shared" si="2"/>
        <v>100</v>
      </c>
      <c r="X12" s="1570"/>
      <c r="Y12" s="3344"/>
      <c r="Z12" s="1149">
        <f t="shared" si="7"/>
        <v>111</v>
      </c>
      <c r="AA12" s="1571">
        <f>D12/F12</f>
        <v>1</v>
      </c>
      <c r="AB12" s="1571">
        <f>D12/H12</f>
        <v>1</v>
      </c>
      <c r="AC12" s="1571">
        <f>D12/J12</f>
        <v>1</v>
      </c>
    </row>
    <row r="13" spans="1:29" ht="15" hidden="1">
      <c r="A13" s="2918"/>
      <c r="B13" s="2924">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387"/>
      <c r="Q13" s="1150">
        <f t="shared" si="6"/>
        <v>111</v>
      </c>
      <c r="R13" s="1568" t="s">
        <v>11</v>
      </c>
      <c r="S13" s="1569">
        <f t="shared" si="0"/>
        <v>100</v>
      </c>
      <c r="T13" s="1568" t="s">
        <v>11</v>
      </c>
      <c r="U13" s="1569">
        <f t="shared" si="1"/>
        <v>100</v>
      </c>
      <c r="V13" s="1568" t="s">
        <v>11</v>
      </c>
      <c r="W13" s="1569">
        <f t="shared" si="2"/>
        <v>100</v>
      </c>
      <c r="X13" s="1570"/>
      <c r="Y13" s="3344"/>
      <c r="Z13" s="1149">
        <f t="shared" si="7"/>
        <v>111</v>
      </c>
      <c r="AA13" s="1571">
        <f t="shared" si="3"/>
        <v>1</v>
      </c>
      <c r="AB13" s="1571">
        <f t="shared" si="4"/>
        <v>1</v>
      </c>
      <c r="AC13" s="1571">
        <f t="shared" si="5"/>
        <v>1</v>
      </c>
    </row>
    <row r="14" spans="1:29" ht="15.75" hidden="1" thickBot="1">
      <c r="A14" s="2919"/>
      <c r="B14" s="2925">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387"/>
      <c r="Q14" s="1150">
        <f t="shared" si="6"/>
        <v>111</v>
      </c>
      <c r="R14" s="1568" t="s">
        <v>11</v>
      </c>
      <c r="S14" s="1569">
        <f t="shared" si="0"/>
        <v>100</v>
      </c>
      <c r="T14" s="1568" t="s">
        <v>11</v>
      </c>
      <c r="U14" s="1569">
        <f t="shared" si="1"/>
        <v>100</v>
      </c>
      <c r="V14" s="1568" t="s">
        <v>11</v>
      </c>
      <c r="W14" s="1569">
        <f t="shared" si="2"/>
        <v>100</v>
      </c>
      <c r="X14" s="1570"/>
      <c r="Y14" s="3344"/>
      <c r="Z14" s="1149">
        <f t="shared" si="7"/>
        <v>111</v>
      </c>
      <c r="AA14" s="1571">
        <f t="shared" si="3"/>
        <v>1</v>
      </c>
      <c r="AB14" s="1571">
        <f t="shared" si="4"/>
        <v>1</v>
      </c>
      <c r="AC14" s="1571">
        <f t="shared" si="5"/>
        <v>1</v>
      </c>
    </row>
    <row r="15" spans="1:29" ht="15">
      <c r="A15" s="2911" t="s">
        <v>2757</v>
      </c>
      <c r="B15" s="166" t="s">
        <v>295</v>
      </c>
      <c r="C15" s="866" t="str">
        <f>估价对象房地状况!C3</f>
        <v>较好</v>
      </c>
      <c r="D15" s="548">
        <v>100</v>
      </c>
      <c r="E15" s="549"/>
      <c r="F15" s="550">
        <f>SUMIF(76:76,E16,77:77)-SUMIF(76:76,C16,77:77)+100</f>
        <v>97</v>
      </c>
      <c r="G15" s="551"/>
      <c r="H15" s="548">
        <f>SUMIF(76:76,G16,77:77)-SUMIF(76:76,C16,77:77)+100</f>
        <v>100</v>
      </c>
      <c r="I15" s="549"/>
      <c r="J15" s="548">
        <f>SUMIF(76:76,I16,77:77)-SUMIF(76:76,C16,77:77)+100</f>
        <v>97</v>
      </c>
      <c r="K15" s="3204">
        <v>3</v>
      </c>
      <c r="L15" s="2143"/>
      <c r="M15" s="2135"/>
      <c r="N15" s="2135"/>
      <c r="O15" s="2142"/>
      <c r="P15" s="3389" t="s">
        <v>540</v>
      </c>
      <c r="Q15" s="1572" t="str">
        <f t="shared" si="6"/>
        <v>居住社区成熟度</v>
      </c>
      <c r="R15" s="1573" t="s">
        <v>11</v>
      </c>
      <c r="S15" s="1574">
        <f t="shared" si="0"/>
        <v>97</v>
      </c>
      <c r="T15" s="1573" t="s">
        <v>11</v>
      </c>
      <c r="U15" s="1574">
        <f t="shared" si="1"/>
        <v>100</v>
      </c>
      <c r="V15" s="1573" t="s">
        <v>11</v>
      </c>
      <c r="W15" s="1574">
        <f t="shared" si="2"/>
        <v>97</v>
      </c>
      <c r="X15" s="1567"/>
      <c r="Y15" s="3389" t="s">
        <v>540</v>
      </c>
      <c r="Z15" s="1575" t="str">
        <f t="shared" si="7"/>
        <v>居住社区成熟度</v>
      </c>
      <c r="AA15" s="1576">
        <f t="shared" si="3"/>
        <v>1.0309278350515463</v>
      </c>
      <c r="AB15" s="1576">
        <f t="shared" si="4"/>
        <v>1</v>
      </c>
      <c r="AC15" s="1576">
        <f t="shared" si="5"/>
        <v>1.0309278350515463</v>
      </c>
    </row>
    <row r="16" spans="1:29" ht="15">
      <c r="A16" s="531"/>
      <c r="B16" s="868"/>
      <c r="C16" s="575" t="s">
        <v>3104</v>
      </c>
      <c r="D16" s="554"/>
      <c r="E16" s="555" t="s">
        <v>3119</v>
      </c>
      <c r="F16" s="556"/>
      <c r="G16" s="557" t="s">
        <v>3104</v>
      </c>
      <c r="H16" s="558"/>
      <c r="I16" s="555" t="s">
        <v>3119</v>
      </c>
      <c r="J16" s="554"/>
      <c r="K16" s="869"/>
      <c r="L16" s="2143"/>
      <c r="M16" s="2135"/>
      <c r="N16" s="2135"/>
      <c r="O16" s="2142"/>
      <c r="P16" s="3390"/>
      <c r="Q16" s="1572"/>
      <c r="R16" s="1573"/>
      <c r="S16" s="1574"/>
      <c r="T16" s="1573"/>
      <c r="U16" s="1574"/>
      <c r="V16" s="1573"/>
      <c r="W16" s="1574"/>
      <c r="X16" s="1567"/>
      <c r="Y16" s="3390"/>
      <c r="Z16" s="1575"/>
      <c r="AA16" s="1576">
        <v>1</v>
      </c>
      <c r="AB16" s="1576">
        <v>1</v>
      </c>
      <c r="AC16" s="1576">
        <v>1</v>
      </c>
    </row>
    <row r="17" spans="1:29" ht="15">
      <c r="A17" s="531"/>
      <c r="B17" s="870" t="s">
        <v>296</v>
      </c>
      <c r="C17" s="871" t="str">
        <f>估价对象房地状况!C6</f>
        <v>较好</v>
      </c>
      <c r="D17" s="558">
        <v>100</v>
      </c>
      <c r="E17" s="561"/>
      <c r="F17" s="562">
        <f>SUMIF(78:78,E18,79:79)-SUMIF(78:78,C18,79:79)+100</f>
        <v>98</v>
      </c>
      <c r="G17" s="563"/>
      <c r="H17" s="564">
        <f>SUMIF(78:78,G18,79:79)-SUMIF(78:78,C18,79:79)+100</f>
        <v>100</v>
      </c>
      <c r="I17" s="561"/>
      <c r="J17" s="564">
        <f>SUMIF(78:78,I18,79:79)-SUMIF(78:78,C18,79:79)+100</f>
        <v>98</v>
      </c>
      <c r="K17" s="3205">
        <v>2</v>
      </c>
      <c r="L17" s="2143"/>
      <c r="M17" s="2135"/>
      <c r="N17" s="2135"/>
      <c r="O17" s="2142"/>
      <c r="P17" s="3390"/>
      <c r="Q17" s="1572" t="str">
        <f>B17</f>
        <v>交通便捷度</v>
      </c>
      <c r="R17" s="1573" t="s">
        <v>11</v>
      </c>
      <c r="S17" s="1574">
        <f>F17</f>
        <v>98</v>
      </c>
      <c r="T17" s="1573" t="s">
        <v>11</v>
      </c>
      <c r="U17" s="1574">
        <f>H17</f>
        <v>100</v>
      </c>
      <c r="V17" s="1573" t="s">
        <v>11</v>
      </c>
      <c r="W17" s="1574">
        <f>J17</f>
        <v>98</v>
      </c>
      <c r="X17" s="1567"/>
      <c r="Y17" s="3390"/>
      <c r="Z17" s="1575" t="str">
        <f>Q17</f>
        <v>交通便捷度</v>
      </c>
      <c r="AA17" s="1576">
        <f t="shared" si="3"/>
        <v>1.0204081632653061</v>
      </c>
      <c r="AB17" s="1576">
        <f t="shared" si="4"/>
        <v>1</v>
      </c>
      <c r="AC17" s="1576">
        <f t="shared" si="5"/>
        <v>1.0204081632653061</v>
      </c>
    </row>
    <row r="18" spans="1:29" ht="15">
      <c r="A18" s="531"/>
      <c r="B18" s="594"/>
      <c r="C18" s="872" t="s">
        <v>3104</v>
      </c>
      <c r="D18" s="558"/>
      <c r="E18" s="567" t="s">
        <v>3119</v>
      </c>
      <c r="F18" s="562"/>
      <c r="G18" s="568" t="s">
        <v>3104</v>
      </c>
      <c r="H18" s="554"/>
      <c r="I18" s="567" t="s">
        <v>3119</v>
      </c>
      <c r="J18" s="554"/>
      <c r="K18" s="869"/>
      <c r="L18" s="2143"/>
      <c r="M18" s="2135"/>
      <c r="N18" s="2135"/>
      <c r="O18" s="2142"/>
      <c r="P18" s="3390"/>
      <c r="Q18" s="1572"/>
      <c r="R18" s="1573"/>
      <c r="S18" s="1574"/>
      <c r="T18" s="1573"/>
      <c r="U18" s="1574"/>
      <c r="V18" s="1573"/>
      <c r="W18" s="1574"/>
      <c r="X18" s="1567"/>
      <c r="Y18" s="3390"/>
      <c r="Z18" s="1575"/>
      <c r="AA18" s="1576">
        <v>1</v>
      </c>
      <c r="AB18" s="1576">
        <v>1</v>
      </c>
      <c r="AC18" s="1576">
        <v>1</v>
      </c>
    </row>
    <row r="19" spans="1:29" ht="15">
      <c r="A19" s="531"/>
      <c r="B19" s="2601" t="s">
        <v>2549</v>
      </c>
      <c r="C19" s="871" t="str">
        <f>估价对象房地状况!C7</f>
        <v>较好</v>
      </c>
      <c r="D19" s="564">
        <v>100</v>
      </c>
      <c r="E19" s="569"/>
      <c r="F19" s="570">
        <f>SUMIF(80:80,E20,81:81)-SUMIF(80:80,C20,81:81)+100</f>
        <v>97</v>
      </c>
      <c r="G19" s="571"/>
      <c r="H19" s="558">
        <f>SUMIF(80:80,G20,81:81)-SUMIF(80:80,C20,81:81)+100</f>
        <v>100</v>
      </c>
      <c r="I19" s="569"/>
      <c r="J19" s="558">
        <f>SUMIF(80:80,I20,81:81)-SUMIF(80:80,C20,81:81)+100</f>
        <v>97</v>
      </c>
      <c r="K19" s="3204">
        <v>3</v>
      </c>
      <c r="L19" s="2143"/>
      <c r="M19" s="2135"/>
      <c r="N19" s="2135"/>
      <c r="O19" s="2142"/>
      <c r="P19" s="3390"/>
      <c r="Q19" s="1572" t="str">
        <f>B19</f>
        <v>公共配套设施</v>
      </c>
      <c r="R19" s="1573" t="s">
        <v>11</v>
      </c>
      <c r="S19" s="1574">
        <f>F19</f>
        <v>97</v>
      </c>
      <c r="T19" s="1573" t="s">
        <v>11</v>
      </c>
      <c r="U19" s="1574">
        <f>H19</f>
        <v>100</v>
      </c>
      <c r="V19" s="1573" t="s">
        <v>11</v>
      </c>
      <c r="W19" s="1574">
        <f>J19</f>
        <v>97</v>
      </c>
      <c r="X19" s="1567"/>
      <c r="Y19" s="3390"/>
      <c r="Z19" s="1575" t="str">
        <f>Q19</f>
        <v>公共配套设施</v>
      </c>
      <c r="AA19" s="1576">
        <f t="shared" si="3"/>
        <v>1.0309278350515463</v>
      </c>
      <c r="AB19" s="1576">
        <f t="shared" si="4"/>
        <v>1</v>
      </c>
      <c r="AC19" s="1576">
        <f t="shared" si="5"/>
        <v>1.0309278350515463</v>
      </c>
    </row>
    <row r="20" spans="1:29" ht="15">
      <c r="A20" s="531"/>
      <c r="B20" s="594"/>
      <c r="C20" s="575" t="s">
        <v>3104</v>
      </c>
      <c r="D20" s="554"/>
      <c r="E20" s="555" t="s">
        <v>3119</v>
      </c>
      <c r="F20" s="556"/>
      <c r="G20" s="557" t="s">
        <v>3104</v>
      </c>
      <c r="H20" s="554"/>
      <c r="I20" s="555" t="s">
        <v>3119</v>
      </c>
      <c r="J20" s="554"/>
      <c r="K20" s="869"/>
      <c r="L20" s="2143"/>
      <c r="M20" s="2135"/>
      <c r="N20" s="2135"/>
      <c r="O20" s="2142"/>
      <c r="P20" s="3390"/>
      <c r="Q20" s="1572"/>
      <c r="R20" s="1573"/>
      <c r="S20" s="1574"/>
      <c r="T20" s="1573"/>
      <c r="U20" s="1574"/>
      <c r="V20" s="1573"/>
      <c r="W20" s="1574"/>
      <c r="X20" s="1567"/>
      <c r="Y20" s="3390"/>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390"/>
      <c r="Q21" s="2580" t="str">
        <f>B21</f>
        <v>基础设施水平</v>
      </c>
      <c r="R21" s="1573" t="s">
        <v>11</v>
      </c>
      <c r="S21" s="1574">
        <f>F21</f>
        <v>100</v>
      </c>
      <c r="T21" s="1573" t="s">
        <v>11</v>
      </c>
      <c r="U21" s="1574">
        <f>H21</f>
        <v>100</v>
      </c>
      <c r="V21" s="1573" t="s">
        <v>11</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921"/>
      <c r="C22" s="872" t="s">
        <v>3098</v>
      </c>
      <c r="D22" s="554"/>
      <c r="E22" s="575" t="s">
        <v>3098</v>
      </c>
      <c r="F22" s="556"/>
      <c r="G22" s="575" t="s">
        <v>3098</v>
      </c>
      <c r="H22" s="554"/>
      <c r="I22" s="575" t="s">
        <v>3098</v>
      </c>
      <c r="J22" s="554"/>
      <c r="K22" s="2600"/>
      <c r="L22" s="2143"/>
      <c r="M22" s="2135"/>
      <c r="N22" s="2135"/>
      <c r="O22" s="2142"/>
      <c r="P22" s="3390"/>
      <c r="Q22" s="2580"/>
      <c r="R22" s="1573"/>
      <c r="S22" s="1574"/>
      <c r="T22" s="1573"/>
      <c r="U22" s="1574"/>
      <c r="V22" s="1573"/>
      <c r="W22" s="1574"/>
      <c r="X22" s="2582"/>
      <c r="Y22" s="3390"/>
      <c r="Z22" s="2581"/>
      <c r="AA22" s="1576">
        <v>1</v>
      </c>
      <c r="AB22" s="1576">
        <v>1</v>
      </c>
      <c r="AC22" s="1576">
        <v>1</v>
      </c>
    </row>
    <row r="23" spans="1:29" ht="15">
      <c r="A23" s="531"/>
      <c r="B23" s="870" t="s">
        <v>297</v>
      </c>
      <c r="C23" s="871" t="str">
        <f>估价对象房地状况!C9</f>
        <v>较好</v>
      </c>
      <c r="D23" s="558">
        <v>100</v>
      </c>
      <c r="E23" s="561"/>
      <c r="F23" s="562">
        <f>SUMIF(84:84,E24,85:85)-SUMIF(84:84,C24,85:85)+100</f>
        <v>97</v>
      </c>
      <c r="G23" s="563"/>
      <c r="H23" s="558">
        <f>SUMIF(84:84,G24,85:85)-SUMIF(84:84,C24,85:85)+100</f>
        <v>100</v>
      </c>
      <c r="I23" s="561"/>
      <c r="J23" s="558">
        <f>SUMIF(84:84,I24,85:85)-SUMIF(84:84,C24,85:85)+100</f>
        <v>97</v>
      </c>
      <c r="K23" s="3204">
        <v>3</v>
      </c>
      <c r="L23" s="2143"/>
      <c r="M23" s="2135"/>
      <c r="N23" s="2135"/>
      <c r="O23" s="2142"/>
      <c r="P23" s="3390"/>
      <c r="Q23" s="1572" t="str">
        <f>B23</f>
        <v>自然及人文环境</v>
      </c>
      <c r="R23" s="1573" t="s">
        <v>11</v>
      </c>
      <c r="S23" s="1574">
        <f>F23</f>
        <v>97</v>
      </c>
      <c r="T23" s="1573" t="s">
        <v>11</v>
      </c>
      <c r="U23" s="1574">
        <f>H23</f>
        <v>100</v>
      </c>
      <c r="V23" s="1573" t="s">
        <v>11</v>
      </c>
      <c r="W23" s="1574">
        <f>J23</f>
        <v>97</v>
      </c>
      <c r="X23" s="1567"/>
      <c r="Y23" s="3390"/>
      <c r="Z23" s="1575" t="str">
        <f>Q23</f>
        <v>自然及人文环境</v>
      </c>
      <c r="AA23" s="1576">
        <f t="shared" si="3"/>
        <v>1.0309278350515463</v>
      </c>
      <c r="AB23" s="1576">
        <f t="shared" si="4"/>
        <v>1</v>
      </c>
      <c r="AC23" s="1576">
        <f t="shared" si="5"/>
        <v>1.0309278350515463</v>
      </c>
    </row>
    <row r="24" spans="1:29" ht="15">
      <c r="A24" s="531"/>
      <c r="B24" s="594"/>
      <c r="C24" s="575" t="s">
        <v>3104</v>
      </c>
      <c r="D24" s="554"/>
      <c r="E24" s="555" t="s">
        <v>3119</v>
      </c>
      <c r="F24" s="556"/>
      <c r="G24" s="557" t="s">
        <v>3104</v>
      </c>
      <c r="H24" s="554"/>
      <c r="I24" s="555" t="s">
        <v>3119</v>
      </c>
      <c r="J24" s="554"/>
      <c r="K24" s="869"/>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hidden="1">
      <c r="A25" s="531"/>
      <c r="B25" s="1896" t="s">
        <v>2259</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19" customFormat="1" ht="15.75" thickBot="1">
      <c r="A27" s="535"/>
      <c r="B27" s="536" t="s">
        <v>724</v>
      </c>
      <c r="C27" s="3192" t="s">
        <v>3178</v>
      </c>
      <c r="D27" s="874">
        <v>100</v>
      </c>
      <c r="E27" s="3193" t="s">
        <v>3179</v>
      </c>
      <c r="F27" s="875">
        <f>SUMIF(90:90,E27,91:91)-SUMIF(90:90,C27,91:91)+100</f>
        <v>104</v>
      </c>
      <c r="G27" s="3194" t="s">
        <v>3179</v>
      </c>
      <c r="H27" s="874">
        <f>SUMIF(90:90,G27,91:91)-SUMIF(90:90,C27,91:91)+100</f>
        <v>104</v>
      </c>
      <c r="I27" s="3193" t="s">
        <v>3183</v>
      </c>
      <c r="J27" s="874">
        <f>SUMIF(90:90,I27,91:91)-SUMIF(90:90,C27,91:91)+100</f>
        <v>100</v>
      </c>
      <c r="K27" s="864"/>
      <c r="L27" s="2136"/>
      <c r="M27" s="2137"/>
      <c r="N27" s="2137"/>
      <c r="O27" s="2138"/>
      <c r="P27" s="3390"/>
      <c r="Q27" s="1150" t="str">
        <f t="shared" si="11"/>
        <v>道路级别</v>
      </c>
      <c r="R27" s="1568" t="s">
        <v>11</v>
      </c>
      <c r="S27" s="1569">
        <f>F27</f>
        <v>104</v>
      </c>
      <c r="T27" s="1568" t="s">
        <v>11</v>
      </c>
      <c r="U27" s="1569">
        <f>H27</f>
        <v>104</v>
      </c>
      <c r="V27" s="1568" t="s">
        <v>11</v>
      </c>
      <c r="W27" s="1569">
        <f>J27</f>
        <v>100</v>
      </c>
      <c r="X27" s="1570"/>
      <c r="Y27" s="3390"/>
      <c r="Z27" s="1149" t="str">
        <f>Q27</f>
        <v>道路级别</v>
      </c>
      <c r="AA27" s="1576">
        <f>D27/F27</f>
        <v>0.96153846153846156</v>
      </c>
      <c r="AB27" s="1576">
        <f>D27/H27</f>
        <v>0.96153846153846156</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39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390"/>
      <c r="Q29" s="1572">
        <f t="shared" si="11"/>
        <v>111</v>
      </c>
      <c r="R29" s="1573" t="s">
        <v>11</v>
      </c>
      <c r="S29" s="1574">
        <f t="shared" si="12"/>
        <v>100</v>
      </c>
      <c r="T29" s="1573" t="s">
        <v>11</v>
      </c>
      <c r="U29" s="1574">
        <f t="shared" si="13"/>
        <v>100</v>
      </c>
      <c r="V29" s="1573" t="s">
        <v>11</v>
      </c>
      <c r="W29" s="1574">
        <f t="shared" si="14"/>
        <v>100</v>
      </c>
      <c r="X29" s="1567"/>
      <c r="Y29" s="3390"/>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390"/>
      <c r="Q30" s="1572">
        <f t="shared" si="11"/>
        <v>111</v>
      </c>
      <c r="R30" s="1573" t="s">
        <v>11</v>
      </c>
      <c r="S30" s="1574">
        <f t="shared" si="12"/>
        <v>100</v>
      </c>
      <c r="T30" s="1573" t="s">
        <v>11</v>
      </c>
      <c r="U30" s="1574">
        <f t="shared" si="13"/>
        <v>100</v>
      </c>
      <c r="V30" s="1573" t="s">
        <v>11</v>
      </c>
      <c r="W30" s="1574">
        <f t="shared" si="14"/>
        <v>100</v>
      </c>
      <c r="X30" s="1567"/>
      <c r="Y30" s="3390"/>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390"/>
      <c r="Q31" s="1572">
        <f t="shared" si="11"/>
        <v>111</v>
      </c>
      <c r="R31" s="1573" t="s">
        <v>11</v>
      </c>
      <c r="S31" s="1574">
        <f t="shared" si="12"/>
        <v>100</v>
      </c>
      <c r="T31" s="1573" t="s">
        <v>11</v>
      </c>
      <c r="U31" s="1574">
        <f t="shared" si="13"/>
        <v>100</v>
      </c>
      <c r="V31" s="1573" t="s">
        <v>11</v>
      </c>
      <c r="W31" s="1574">
        <f t="shared" si="14"/>
        <v>100</v>
      </c>
      <c r="X31" s="1567"/>
      <c r="Y31" s="3390"/>
      <c r="Z31" s="1575">
        <f t="shared" si="15"/>
        <v>111</v>
      </c>
      <c r="AA31" s="1576">
        <f t="shared" si="3"/>
        <v>1</v>
      </c>
      <c r="AB31" s="1576">
        <f t="shared" si="4"/>
        <v>1</v>
      </c>
      <c r="AC31" s="1576">
        <f t="shared" si="5"/>
        <v>1</v>
      </c>
    </row>
    <row r="32" spans="1:29" ht="15">
      <c r="A32" s="2908" t="s">
        <v>2758</v>
      </c>
      <c r="B32" s="172" t="s">
        <v>725</v>
      </c>
      <c r="C32" s="877" t="s">
        <v>3156</v>
      </c>
      <c r="D32" s="596">
        <v>100</v>
      </c>
      <c r="E32" s="878" t="s">
        <v>3156</v>
      </c>
      <c r="F32" s="574">
        <f>SUMIF(100:100,E32,101:101)-SUMIF(100:100,C32,101:101)+100</f>
        <v>100</v>
      </c>
      <c r="G32" s="877" t="s">
        <v>3156</v>
      </c>
      <c r="H32" s="596">
        <f>SUMIF(100:100,G32,101:101)-SUMIF(100:100,C32,101:101)+100</f>
        <v>100</v>
      </c>
      <c r="I32" s="878" t="s">
        <v>3156</v>
      </c>
      <c r="J32" s="539">
        <f>SUMIF(100:100,I32,101:101)-SUMIF(100:100,C32,101:101)+100</f>
        <v>100</v>
      </c>
      <c r="K32" s="863">
        <v>2</v>
      </c>
      <c r="L32" s="2143"/>
      <c r="M32" s="2135"/>
      <c r="N32" s="2135"/>
      <c r="O32" s="2142"/>
      <c r="P32" s="3391" t="s">
        <v>550</v>
      </c>
      <c r="Q32" s="1572" t="str">
        <f t="shared" si="11"/>
        <v>建筑类型</v>
      </c>
      <c r="R32" s="1573" t="s">
        <v>11</v>
      </c>
      <c r="S32" s="1574">
        <f t="shared" si="12"/>
        <v>100</v>
      </c>
      <c r="T32" s="1573" t="s">
        <v>11</v>
      </c>
      <c r="U32" s="1574">
        <f t="shared" si="13"/>
        <v>100</v>
      </c>
      <c r="V32" s="1573" t="s">
        <v>11</v>
      </c>
      <c r="W32" s="1574">
        <f t="shared" si="14"/>
        <v>100</v>
      </c>
      <c r="X32" s="1567"/>
      <c r="Y32" s="3392" t="s">
        <v>550</v>
      </c>
      <c r="Z32" s="1575" t="str">
        <f t="shared" si="15"/>
        <v>建筑类型</v>
      </c>
      <c r="AA32" s="1576">
        <f t="shared" si="3"/>
        <v>1</v>
      </c>
      <c r="AB32" s="1576">
        <f t="shared" si="4"/>
        <v>1</v>
      </c>
      <c r="AC32" s="1576">
        <f t="shared" si="5"/>
        <v>1</v>
      </c>
    </row>
    <row r="33" spans="1:29" s="1338" customFormat="1" ht="15">
      <c r="A33" s="602"/>
      <c r="B33" s="526" t="s">
        <v>726</v>
      </c>
      <c r="C33" s="879">
        <v>361545</v>
      </c>
      <c r="D33" s="254">
        <v>100</v>
      </c>
      <c r="E33" s="533">
        <v>616740</v>
      </c>
      <c r="F33" s="862">
        <f>LOOKUP(E33,103:103,104:104)-LOOKUP(C33,103:103,104:104)+100</f>
        <v>100</v>
      </c>
      <c r="G33" s="532">
        <v>86736</v>
      </c>
      <c r="H33" s="254">
        <f>LOOKUP(G33,103:103,104:104)-LOOKUP(C33,103:103,104:104)+100</f>
        <v>94</v>
      </c>
      <c r="I33" s="533">
        <v>282855</v>
      </c>
      <c r="J33" s="254">
        <f>LOOKUP(I33,103:103,104:104)-LOOKUP(C33,103:103,104:104)+100</f>
        <v>98</v>
      </c>
      <c r="K33" s="864"/>
      <c r="L33" s="2141"/>
      <c r="M33" s="2172"/>
      <c r="N33" s="2172"/>
      <c r="O33" s="2144"/>
      <c r="P33" s="3392"/>
      <c r="Q33" s="1605" t="str">
        <f t="shared" si="11"/>
        <v>项目建筑规模</v>
      </c>
      <c r="R33" s="1577" t="s">
        <v>11</v>
      </c>
      <c r="S33" s="1578">
        <f t="shared" si="12"/>
        <v>100</v>
      </c>
      <c r="T33" s="1577" t="s">
        <v>11</v>
      </c>
      <c r="U33" s="1578">
        <f t="shared" si="13"/>
        <v>94</v>
      </c>
      <c r="V33" s="1577" t="s">
        <v>11</v>
      </c>
      <c r="W33" s="1578">
        <f t="shared" si="14"/>
        <v>98</v>
      </c>
      <c r="X33" s="1579"/>
      <c r="Y33" s="3392"/>
      <c r="Z33" s="1580" t="str">
        <f t="shared" si="15"/>
        <v>项目建筑规模</v>
      </c>
      <c r="AA33" s="1576">
        <f t="shared" si="3"/>
        <v>1</v>
      </c>
      <c r="AB33" s="1576">
        <f t="shared" si="4"/>
        <v>1.0638297872340425</v>
      </c>
      <c r="AC33" s="1576">
        <f t="shared" si="5"/>
        <v>1.0204081632653061</v>
      </c>
    </row>
    <row r="34" spans="1:29" ht="15">
      <c r="A34" s="593"/>
      <c r="B34" s="526" t="s">
        <v>727</v>
      </c>
      <c r="C34" s="880" t="s">
        <v>3146</v>
      </c>
      <c r="D34" s="539">
        <v>100</v>
      </c>
      <c r="E34" s="881" t="s">
        <v>3146</v>
      </c>
      <c r="F34" s="574">
        <f>SUMIF(105:105,E34,106:106)-SUMIF(105:105,C34,106:106)+100</f>
        <v>100</v>
      </c>
      <c r="G34" s="880" t="s">
        <v>3146</v>
      </c>
      <c r="H34" s="539">
        <f>SUMIF(105:105,G34,106:106)-SUMIF(105:105,C34,106:106)+100</f>
        <v>100</v>
      </c>
      <c r="I34" s="881" t="s">
        <v>3146</v>
      </c>
      <c r="J34" s="539">
        <f>SUMIF(105:105,I34,106:106)-SUMIF(105:105,C34,106:106)+100</f>
        <v>100</v>
      </c>
      <c r="K34" s="863">
        <v>2</v>
      </c>
      <c r="L34" s="2143"/>
      <c r="M34" s="2135"/>
      <c r="N34" s="2135"/>
      <c r="O34" s="2142"/>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3"/>
      <c r="B35" s="526" t="s">
        <v>728</v>
      </c>
      <c r="C35" s="598" t="s">
        <v>3159</v>
      </c>
      <c r="D35" s="539">
        <v>100</v>
      </c>
      <c r="E35" s="598" t="s">
        <v>3159</v>
      </c>
      <c r="F35" s="574">
        <f>SUMIF(107:107,E35,108:108)-SUMIF(107:107,C35,108:108)+100</f>
        <v>100</v>
      </c>
      <c r="G35" s="598" t="s">
        <v>3159</v>
      </c>
      <c r="H35" s="539">
        <f>SUMIF(107:107,G35,108:108)-SUMIF(107:107,C35,108:108)+100</f>
        <v>100</v>
      </c>
      <c r="I35" s="598" t="s">
        <v>3159</v>
      </c>
      <c r="J35" s="539">
        <f>SUMIF(107:107,I35,108:108)-SUMIF(107:107,C35,108:108)+100</f>
        <v>100</v>
      </c>
      <c r="K35" s="863">
        <v>2</v>
      </c>
      <c r="L35" s="2143"/>
      <c r="M35" s="2135"/>
      <c r="N35" s="2135"/>
      <c r="O35" s="2142"/>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3"/>
      <c r="B36" s="526" t="s">
        <v>729</v>
      </c>
      <c r="C36" s="598" t="s">
        <v>3163</v>
      </c>
      <c r="D36" s="539">
        <v>100</v>
      </c>
      <c r="E36" s="598" t="s">
        <v>3163</v>
      </c>
      <c r="F36" s="574">
        <f>SUMIF(109:109,E36,110:110)-SUMIF(109:109,C36,110:110)+100</f>
        <v>100</v>
      </c>
      <c r="G36" s="598" t="s">
        <v>3163</v>
      </c>
      <c r="H36" s="539">
        <f>SUMIF(109:109,G36,110:110)-SUMIF(109:109,C36,110:110)+100</f>
        <v>100</v>
      </c>
      <c r="I36" s="598" t="s">
        <v>3163</v>
      </c>
      <c r="J36" s="539">
        <f>SUMIF(109:109,I36,110:110)-SUMIF(109:109,C36,110:110)+100</f>
        <v>100</v>
      </c>
      <c r="K36" s="863">
        <v>2</v>
      </c>
      <c r="L36" s="2143"/>
      <c r="M36" s="2135"/>
      <c r="N36" s="2135"/>
      <c r="O36" s="2142"/>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6"/>
      <c r="M37" s="2137"/>
      <c r="N37" s="2137"/>
      <c r="O37" s="2138"/>
      <c r="P37" s="3392"/>
      <c r="Q37" s="1150" t="str">
        <f t="shared" si="11"/>
        <v>成新度</v>
      </c>
      <c r="R37" s="1568" t="s">
        <v>11</v>
      </c>
      <c r="S37" s="1569">
        <f t="shared" si="12"/>
        <v>100</v>
      </c>
      <c r="T37" s="1568" t="s">
        <v>11</v>
      </c>
      <c r="U37" s="1569">
        <f t="shared" si="13"/>
        <v>100</v>
      </c>
      <c r="V37" s="1568" t="s">
        <v>11</v>
      </c>
      <c r="W37" s="1569">
        <f t="shared" si="14"/>
        <v>100</v>
      </c>
      <c r="X37" s="1570"/>
      <c r="Y37" s="3392"/>
      <c r="Z37" s="1149" t="str">
        <f t="shared" si="15"/>
        <v>成新度</v>
      </c>
      <c r="AA37" s="1571">
        <f t="shared" si="3"/>
        <v>1</v>
      </c>
      <c r="AB37" s="1571">
        <f t="shared" si="4"/>
        <v>1</v>
      </c>
      <c r="AC37" s="1571">
        <f t="shared" si="5"/>
        <v>1</v>
      </c>
    </row>
    <row r="38" spans="1:29" ht="15">
      <c r="A38" s="593"/>
      <c r="B38" s="526" t="s">
        <v>731</v>
      </c>
      <c r="C38" s="598" t="s">
        <v>3168</v>
      </c>
      <c r="D38" s="539">
        <v>100</v>
      </c>
      <c r="E38" s="598" t="s">
        <v>3168</v>
      </c>
      <c r="F38" s="574">
        <f>SUMIF(114:114,E38,115:115)-SUMIF(114:114,C38,115:115)+100</f>
        <v>100</v>
      </c>
      <c r="G38" s="598" t="s">
        <v>3168</v>
      </c>
      <c r="H38" s="539">
        <f>SUMIF(114:114,G38,115:115)-SUMIF(114:114,C38,115:115)+100</f>
        <v>100</v>
      </c>
      <c r="I38" s="598" t="s">
        <v>3168</v>
      </c>
      <c r="J38" s="539">
        <f>SUMIF(114:114,I38,115:115)-SUMIF(114:114,C38,115:115)+100</f>
        <v>100</v>
      </c>
      <c r="K38" s="863">
        <v>2</v>
      </c>
      <c r="L38" s="2143"/>
      <c r="M38" s="2135"/>
      <c r="N38" s="2135"/>
      <c r="O38" s="2142"/>
      <c r="P38" s="3392" t="s">
        <v>550</v>
      </c>
      <c r="Q38" s="1572" t="str">
        <f t="shared" si="11"/>
        <v>物业管理</v>
      </c>
      <c r="R38" s="1573" t="s">
        <v>11</v>
      </c>
      <c r="S38" s="1574">
        <f t="shared" si="12"/>
        <v>100</v>
      </c>
      <c r="T38" s="1573" t="s">
        <v>11</v>
      </c>
      <c r="U38" s="1574">
        <f t="shared" si="13"/>
        <v>100</v>
      </c>
      <c r="V38" s="1573" t="s">
        <v>11</v>
      </c>
      <c r="W38" s="1574">
        <f t="shared" si="14"/>
        <v>100</v>
      </c>
      <c r="X38" s="1567"/>
      <c r="Y38" s="3392" t="s">
        <v>550</v>
      </c>
      <c r="Z38" s="1575" t="str">
        <f t="shared" si="15"/>
        <v>物业管理</v>
      </c>
      <c r="AA38" s="1576">
        <f t="shared" si="3"/>
        <v>1</v>
      </c>
      <c r="AB38" s="1576">
        <f t="shared" si="4"/>
        <v>1</v>
      </c>
      <c r="AC38" s="1576">
        <f t="shared" si="5"/>
        <v>1</v>
      </c>
    </row>
    <row r="39" spans="1:29" ht="15">
      <c r="A39" s="593"/>
      <c r="B39" s="1896" t="s">
        <v>2567</v>
      </c>
      <c r="C39" s="598" t="s">
        <v>3098</v>
      </c>
      <c r="D39" s="539">
        <v>100</v>
      </c>
      <c r="E39" s="598" t="s">
        <v>3098</v>
      </c>
      <c r="F39" s="574">
        <f>SUMIF(116:116,E39,117:117)-SUMIF(116:116,C39,117:117)+100</f>
        <v>100</v>
      </c>
      <c r="G39" s="598" t="s">
        <v>3098</v>
      </c>
      <c r="H39" s="539">
        <f>SUMIF(116:116,G39,117:117)-SUMIF(116:116,C39,117:117)+100</f>
        <v>100</v>
      </c>
      <c r="I39" s="598" t="s">
        <v>3098</v>
      </c>
      <c r="J39" s="539">
        <f>SUMIF(116:116,I39,117:117)-SUMIF(116:116,C39,117:117)+100</f>
        <v>100</v>
      </c>
      <c r="K39" s="863">
        <v>2</v>
      </c>
      <c r="L39" s="2143"/>
      <c r="M39" s="2135"/>
      <c r="N39" s="2135"/>
      <c r="O39" s="2142"/>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3"/>
      <c r="M40" s="2135"/>
      <c r="N40" s="2135"/>
      <c r="O40" s="2142"/>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75" thickBot="1">
      <c r="A42" s="593"/>
      <c r="B42" s="526" t="s">
        <v>734</v>
      </c>
      <c r="C42" s="598" t="s">
        <v>3163</v>
      </c>
      <c r="D42" s="539">
        <v>100</v>
      </c>
      <c r="E42" s="598" t="s">
        <v>3163</v>
      </c>
      <c r="F42" s="574">
        <f>SUMIF(122:122,E42,123:123)-SUMIF(122:122,C42,123:123)+100</f>
        <v>100</v>
      </c>
      <c r="G42" s="598" t="s">
        <v>3163</v>
      </c>
      <c r="H42" s="539">
        <f>SUMIF(122:122,G42,123:123)-SUMIF(122:122,C42,123:123)+100</f>
        <v>100</v>
      </c>
      <c r="I42" s="598" t="s">
        <v>3163</v>
      </c>
      <c r="J42" s="539">
        <f>SUMIF(122:122,I42,123:123)-SUMIF(122:122,C42,123:123)+100</f>
        <v>100</v>
      </c>
      <c r="K42" s="863">
        <v>3</v>
      </c>
      <c r="L42" s="2143"/>
      <c r="M42" s="2135"/>
      <c r="N42" s="2135"/>
      <c r="O42" s="2142"/>
      <c r="P42" s="3392"/>
      <c r="Q42" s="1572" t="str">
        <f t="shared" si="11"/>
        <v>内部装修</v>
      </c>
      <c r="R42" s="1573" t="s">
        <v>11</v>
      </c>
      <c r="S42" s="1574">
        <f t="shared" si="12"/>
        <v>100</v>
      </c>
      <c r="T42" s="1573" t="s">
        <v>11</v>
      </c>
      <c r="U42" s="1574">
        <f t="shared" si="13"/>
        <v>100</v>
      </c>
      <c r="V42" s="1573" t="s">
        <v>11</v>
      </c>
      <c r="W42" s="1574">
        <f t="shared" si="14"/>
        <v>100</v>
      </c>
      <c r="X42" s="1567"/>
      <c r="Y42" s="3392"/>
      <c r="Z42" s="1575" t="str">
        <f t="shared" si="15"/>
        <v>内部装修</v>
      </c>
      <c r="AA42" s="1576">
        <f t="shared" si="3"/>
        <v>1</v>
      </c>
      <c r="AB42" s="1576">
        <f t="shared" si="4"/>
        <v>1</v>
      </c>
      <c r="AC42" s="1576">
        <f t="shared" si="5"/>
        <v>1</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392"/>
      <c r="Q44" s="1150">
        <f t="shared" si="11"/>
        <v>111</v>
      </c>
      <c r="R44" s="1568" t="s">
        <v>11</v>
      </c>
      <c r="S44" s="1569">
        <f t="shared" si="12"/>
        <v>100</v>
      </c>
      <c r="T44" s="1568" t="s">
        <v>11</v>
      </c>
      <c r="U44" s="1569">
        <f t="shared" si="13"/>
        <v>100</v>
      </c>
      <c r="V44" s="1568" t="s">
        <v>11</v>
      </c>
      <c r="W44" s="1569">
        <f t="shared" si="14"/>
        <v>100</v>
      </c>
      <c r="X44" s="1570"/>
      <c r="Y44" s="3392"/>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392"/>
      <c r="Q45" s="1572">
        <f t="shared" si="11"/>
        <v>111</v>
      </c>
      <c r="R45" s="1573" t="s">
        <v>11</v>
      </c>
      <c r="S45" s="1574">
        <f t="shared" si="12"/>
        <v>100</v>
      </c>
      <c r="T45" s="1573" t="s">
        <v>11</v>
      </c>
      <c r="U45" s="1574">
        <f t="shared" si="13"/>
        <v>100</v>
      </c>
      <c r="V45" s="1573" t="s">
        <v>11</v>
      </c>
      <c r="W45" s="1574">
        <f t="shared" si="14"/>
        <v>100</v>
      </c>
      <c r="X45" s="1567"/>
      <c r="Y45" s="3392"/>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5">
      <c r="A47" s="606" t="s">
        <v>736</v>
      </c>
      <c r="B47" s="886"/>
      <c r="C47" s="2628" t="s">
        <v>9</v>
      </c>
      <c r="D47" s="2629"/>
      <c r="E47" s="2630">
        <v>24000</v>
      </c>
      <c r="F47" s="2631"/>
      <c r="G47" s="2632">
        <v>23000</v>
      </c>
      <c r="H47" s="2633"/>
      <c r="I47" s="2630">
        <v>20000</v>
      </c>
      <c r="J47" s="2633"/>
      <c r="K47" s="1606"/>
      <c r="L47" s="2145"/>
      <c r="M47" s="2146"/>
      <c r="N47" s="2135"/>
      <c r="O47" s="2146"/>
      <c r="P47" s="3387" t="str">
        <f>A47</f>
        <v>成交单价（元/平方米）</v>
      </c>
      <c r="Q47" s="3387"/>
      <c r="R47" s="3473">
        <f>E47</f>
        <v>24000</v>
      </c>
      <c r="S47" s="3473"/>
      <c r="T47" s="3473">
        <f>G47</f>
        <v>23000</v>
      </c>
      <c r="U47" s="3473"/>
      <c r="V47" s="3473">
        <f>I47</f>
        <v>20000</v>
      </c>
      <c r="W47" s="3473"/>
      <c r="X47" s="1559"/>
      <c r="Y47" s="1581"/>
      <c r="Z47" s="1559"/>
      <c r="AA47" s="1559"/>
      <c r="AB47" s="1559"/>
      <c r="AC47" s="1559"/>
    </row>
    <row r="48" spans="1:29" ht="15.75" thickBot="1">
      <c r="A48" s="614" t="s">
        <v>2763</v>
      </c>
      <c r="B48" s="887"/>
      <c r="C48" s="2634">
        <f>R49</f>
        <v>23412</v>
      </c>
      <c r="D48" s="2635"/>
      <c r="E48" s="2636">
        <f>R48</f>
        <v>24799</v>
      </c>
      <c r="F48" s="2636"/>
      <c r="G48" s="2634">
        <f>T48</f>
        <v>23066</v>
      </c>
      <c r="H48" s="2635"/>
      <c r="I48" s="2636">
        <f>V48</f>
        <v>22370</v>
      </c>
      <c r="J48" s="2635"/>
      <c r="K48" s="1607"/>
      <c r="L48" s="2145"/>
      <c r="M48" s="2146"/>
      <c r="N48" s="2146"/>
      <c r="O48" s="2146"/>
      <c r="P48" s="3387" t="str">
        <f>A48</f>
        <v>比较价格（元/平方米）</v>
      </c>
      <c r="Q48" s="3387"/>
      <c r="R48" s="3473">
        <f>IF(F1="售价",ROUND(PRODUCT(R47,AA7:AA46),0),ROUND(PRODUCT(R47,AA7:AA46),1))</f>
        <v>24799</v>
      </c>
      <c r="S48" s="3473"/>
      <c r="T48" s="3473">
        <f>IF(F1="售价",ROUND(PRODUCT(T47,AB7:AB46),0),ROUND(PRODUCT(T47,AB7:AB46),1))</f>
        <v>23066</v>
      </c>
      <c r="U48" s="3473"/>
      <c r="V48" s="3473">
        <f>IF(F1="售价",ROUND(PRODUCT(V47,AC7:AC46),0),ROUND(PRODUCT(V47,AC7:AC46),1))</f>
        <v>22370</v>
      </c>
      <c r="W48" s="3473"/>
      <c r="X48" s="1559"/>
      <c r="Y48" s="1559"/>
      <c r="Z48" s="1559"/>
      <c r="AA48" s="1559"/>
      <c r="AB48" s="1559"/>
      <c r="AC48" s="1559"/>
    </row>
    <row r="49" spans="1:29" ht="15.75" thickBot="1">
      <c r="A49" s="620" t="s">
        <v>2935</v>
      </c>
      <c r="B49" s="621"/>
      <c r="C49" s="2637">
        <f>R49</f>
        <v>23412</v>
      </c>
      <c r="D49" s="2637"/>
      <c r="E49" s="2637"/>
      <c r="F49" s="2637"/>
      <c r="G49" s="2637"/>
      <c r="H49" s="2637"/>
      <c r="I49" s="2637"/>
      <c r="J49" s="2637"/>
      <c r="K49" s="1608"/>
      <c r="L49" s="2145"/>
      <c r="M49" s="2146"/>
      <c r="N49" s="2146"/>
      <c r="O49" s="2146"/>
      <c r="P49" s="3408" t="str">
        <f>A49</f>
        <v>估价对象XX用房的比较价格（楼面单价，元/平方米）</v>
      </c>
      <c r="Q49" s="3409"/>
      <c r="R49" s="3472">
        <f>IF(F1="售价",ROUND(AVERAGE(R48:V48),0),ROUND(AVERAGE(R48:V48),1))</f>
        <v>23412</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f>IF(E47&lt;E48,E48/E47-1,E47/E48-1)</f>
        <v>3.3291666666666719E-2</v>
      </c>
      <c r="F52" s="626" t="str">
        <f>IF(OR(E52&gt;=0.3,E52&lt;=-0.3),"超过30%","")</f>
        <v/>
      </c>
      <c r="G52" s="625">
        <f>IF(G47&lt;G48,G48/G47-1,G47/G48-1)</f>
        <v>2.8695652173913455E-3</v>
      </c>
      <c r="H52" s="626" t="str">
        <f>IF(OR(G52&gt;=0.3,G52&lt;=-0.3),"超过30%","")</f>
        <v/>
      </c>
      <c r="I52" s="625">
        <f>IF(I47&lt;I48,I48/I47-1,I47/I48-1)</f>
        <v>0.11850000000000005</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f>IF(E48&lt;G48,G48/E48-1,E48/G48-1)</f>
        <v>7.5132229255180816E-2</v>
      </c>
      <c r="F53" s="626" t="str">
        <f>IF(OR(E53&gt;=0.2,E53&lt;=-0.2),"超过20%","")</f>
        <v/>
      </c>
      <c r="G53" s="625">
        <f>IF(G48&lt;I48,I48/G48-1,G48/I48-1)</f>
        <v>3.1113097898971764E-2</v>
      </c>
      <c r="H53" s="626" t="str">
        <f>IF(OR(G53&gt;=0.2,G53&lt;=-0.2),"超过20%","")</f>
        <v/>
      </c>
      <c r="I53" s="625">
        <f>IF(I48&lt;E48,E48/I48-1,I48/E48-1)</f>
        <v>0.1085829235583371</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f>IF(E47&lt;G47,G47/E47-1,E47/G47-1)</f>
        <v>4.3478260869565188E-2</v>
      </c>
      <c r="F54" s="626" t="str">
        <f>IF(OR(E54&gt;=0.3,E54&lt;=-0.3),"超过30%","")</f>
        <v/>
      </c>
      <c r="G54" s="625">
        <f>IF(G47&lt;I47,I47/G47-1,G47/I47-1)</f>
        <v>0.14999999999999991</v>
      </c>
      <c r="H54" s="626" t="str">
        <f>IF(OR(G54&gt;=0.3,G54&lt;=-0.3),"超过30%","")</f>
        <v/>
      </c>
      <c r="I54" s="625">
        <f>IF(I47&lt;E47,E47/I47-1,I47/E47-1)</f>
        <v>0.19999999999999996</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577</v>
      </c>
      <c r="B63" s="664" t="s">
        <v>534</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0</v>
      </c>
      <c r="D68" s="540">
        <v>1</v>
      </c>
      <c r="E68" s="540">
        <v>2</v>
      </c>
      <c r="F68" s="540">
        <v>3</v>
      </c>
      <c r="G68" s="540">
        <v>4</v>
      </c>
      <c r="H68" s="540">
        <v>5</v>
      </c>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hidden="1"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hidden="1"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hidden="1"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hidden="1"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hidden="1"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hidden="1"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98</v>
      </c>
      <c r="E79" s="678">
        <f>D79-$K17</f>
        <v>96</v>
      </c>
      <c r="F79" s="678">
        <f>E79-$K17</f>
        <v>94</v>
      </c>
      <c r="G79" s="678">
        <f>F79-$K17</f>
        <v>92</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97</v>
      </c>
      <c r="E81" s="678">
        <f>D81-$K19</f>
        <v>94</v>
      </c>
      <c r="F81" s="678">
        <f>E81-$K19</f>
        <v>91</v>
      </c>
      <c r="G81" s="678">
        <f>F81-$K19</f>
        <v>88</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97</v>
      </c>
      <c r="E85" s="678">
        <f>D85-$K23</f>
        <v>94</v>
      </c>
      <c r="F85" s="678">
        <f>E85-$K23</f>
        <v>91</v>
      </c>
      <c r="G85" s="678">
        <f>F85-$K23</f>
        <v>88</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hidden="1" thickTop="1">
      <c r="A86" s="708"/>
      <c r="B86" s="1897" t="s">
        <v>2260</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hidden="1" thickTop="1">
      <c r="A88" s="708"/>
      <c r="B88" s="672" t="s">
        <v>746</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3188" t="s">
        <v>3152</v>
      </c>
      <c r="D90" s="3188" t="s">
        <v>3153</v>
      </c>
      <c r="E90" s="3188" t="s">
        <v>3154</v>
      </c>
      <c r="F90" s="3188" t="s">
        <v>3155</v>
      </c>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v>100</v>
      </c>
      <c r="D91" s="691">
        <v>98</v>
      </c>
      <c r="E91" s="691">
        <v>96</v>
      </c>
      <c r="F91" s="691">
        <v>94</v>
      </c>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hidden="1"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hidden="1"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hidden="1"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hidden="1"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hidden="1"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hidden="1"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hidden="1"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hidden="1"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ht="15" thickTop="1">
      <c r="A100" s="663" t="s">
        <v>551</v>
      </c>
      <c r="B100" s="664" t="s">
        <v>747</v>
      </c>
      <c r="C100" s="3182" t="s">
        <v>3157</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150000(含)-300000</v>
      </c>
      <c r="G102" s="707" t="str">
        <f t="shared" si="23"/>
        <v>300000(含)-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0</v>
      </c>
      <c r="D103" s="729">
        <v>50000</v>
      </c>
      <c r="E103" s="729">
        <v>100000</v>
      </c>
      <c r="F103" s="729">
        <v>150000</v>
      </c>
      <c r="G103" s="729">
        <v>300000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3188" t="s">
        <v>3158</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750</v>
      </c>
      <c r="C107" s="3189" t="s">
        <v>3160</v>
      </c>
      <c r="D107" s="3189" t="s">
        <v>3161</v>
      </c>
      <c r="E107" s="3189" t="s">
        <v>3162</v>
      </c>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751</v>
      </c>
      <c r="C109" s="3188" t="s">
        <v>3164</v>
      </c>
      <c r="D109" s="3188" t="s">
        <v>3165</v>
      </c>
      <c r="E109" s="3188" t="s">
        <v>3166</v>
      </c>
      <c r="F109" s="3189" t="s">
        <v>3167</v>
      </c>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753</v>
      </c>
      <c r="C114" s="3188" t="s">
        <v>3169</v>
      </c>
      <c r="D114" s="3188" t="s">
        <v>3170</v>
      </c>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2559</v>
      </c>
      <c r="C116" s="3188" t="s">
        <v>3171</v>
      </c>
      <c r="D116" s="3188" t="s">
        <v>3172</v>
      </c>
      <c r="E116" s="3188" t="s">
        <v>3173</v>
      </c>
      <c r="F116" s="3188" t="s">
        <v>3174</v>
      </c>
      <c r="G116" s="3188" t="s">
        <v>3175</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754</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733</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3188" t="s">
        <v>3164</v>
      </c>
      <c r="D122" s="3188" t="s">
        <v>3165</v>
      </c>
      <c r="E122" s="3188" t="s">
        <v>3166</v>
      </c>
      <c r="F122" s="3189" t="s">
        <v>3167</v>
      </c>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E28" sqref="E2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3110</v>
      </c>
      <c r="D1" s="3124" t="s">
        <v>3142</v>
      </c>
      <c r="E1" s="2388" t="s">
        <v>2377</v>
      </c>
      <c r="F1" s="2389">
        <f ca="1">J53</f>
        <v>28.71</v>
      </c>
      <c r="G1" s="773">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501</v>
      </c>
      <c r="C2" s="2058"/>
      <c r="D2" s="2056"/>
      <c r="E2" s="2057"/>
      <c r="F2" s="2057"/>
      <c r="G2" s="1590"/>
      <c r="H2" s="2058"/>
      <c r="I2" s="2058"/>
      <c r="J2" s="2058"/>
      <c r="K2" s="2059"/>
      <c r="L2" s="2058"/>
      <c r="M2" s="2058"/>
    </row>
    <row r="3" spans="1:33" ht="18" customHeight="1" thickBot="1">
      <c r="A3" s="832" t="s">
        <v>1728</v>
      </c>
      <c r="B3" s="833">
        <f ca="1">IF(ISERROR(B2*10000/F43),0,ROUND(B2*10000/F43,0))</f>
        <v>2226</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2461</v>
      </c>
      <c r="C5" s="55">
        <f ca="1">C6+C10+C12</f>
        <v>40</v>
      </c>
      <c r="D5" s="2497" t="s">
        <v>2464</v>
      </c>
      <c r="E5" s="2491"/>
      <c r="F5" s="2492"/>
      <c r="G5" s="1592"/>
      <c r="H5" s="780">
        <v>1</v>
      </c>
      <c r="I5" s="781" t="s">
        <v>2461</v>
      </c>
      <c r="J5" s="55">
        <f ca="1">J6+J10+J12</f>
        <v>0</v>
      </c>
      <c r="K5" s="2497" t="s">
        <v>2464</v>
      </c>
      <c r="L5" s="2491"/>
      <c r="M5" s="2492"/>
    </row>
    <row r="6" spans="1:33" ht="18" customHeight="1">
      <c r="A6" s="1831" t="s">
        <v>1825</v>
      </c>
      <c r="B6" s="3451" t="s">
        <v>2466</v>
      </c>
      <c r="C6" s="782">
        <f ca="1">ROUND(F6*F8*F7*(1-F9)/10000,0)</f>
        <v>40</v>
      </c>
      <c r="D6" s="2498" t="s">
        <v>2465</v>
      </c>
      <c r="E6" s="783" t="s">
        <v>1739</v>
      </c>
      <c r="F6" s="784">
        <f ca="1">INDIRECT("'数据-取费表'!u"&amp;$G$1)</f>
        <v>800</v>
      </c>
      <c r="G6" s="1592"/>
      <c r="H6" s="2505" t="s">
        <v>2471</v>
      </c>
      <c r="I6" s="3451" t="s">
        <v>2466</v>
      </c>
      <c r="J6" s="782">
        <f ca="1">ROUND(M6*M8*M7*(1-M9)/10000,0)</f>
        <v>0</v>
      </c>
      <c r="K6" s="340" t="s">
        <v>1738</v>
      </c>
      <c r="L6" s="783" t="s">
        <v>1739</v>
      </c>
      <c r="M6" s="784">
        <f ca="1">INDIRECT("'数据-取费表'!z"&amp;$G$1)</f>
        <v>0</v>
      </c>
    </row>
    <row r="7" spans="1:33" ht="18" customHeight="1">
      <c r="A7" s="2501"/>
      <c r="B7" s="3452"/>
      <c r="C7" s="787"/>
      <c r="D7" s="788"/>
      <c r="E7" s="783" t="s">
        <v>1740</v>
      </c>
      <c r="F7" s="784">
        <f ca="1">IF(INDIRECT("'数据-取费表'!ah"&amp;$G$1)="",INDIRECT("'数据-取费表'!k"&amp;$G$1),INDIRECT("'数据-取费表'!ah"&amp;$G$1))</f>
        <v>46</v>
      </c>
      <c r="G7" s="1592"/>
      <c r="H7" s="2490"/>
      <c r="I7" s="3452"/>
      <c r="J7" s="787"/>
      <c r="K7" s="788"/>
      <c r="L7" s="783" t="s">
        <v>1740</v>
      </c>
      <c r="M7" s="784">
        <f ca="1">F7</f>
        <v>46</v>
      </c>
    </row>
    <row r="8" spans="1:33" ht="18" customHeight="1">
      <c r="A8" s="2494"/>
      <c r="B8" s="3453"/>
      <c r="C8" s="787"/>
      <c r="D8" s="788"/>
      <c r="E8" s="783" t="s">
        <v>1741</v>
      </c>
      <c r="F8" s="784">
        <f ca="1">INDIRECT("'数据-取费表'!ai"&amp;$G$1)</f>
        <v>12</v>
      </c>
      <c r="G8" s="1592"/>
      <c r="H8" s="2490"/>
      <c r="I8" s="3453"/>
      <c r="J8" s="787"/>
      <c r="K8" s="788"/>
      <c r="L8" s="783" t="s">
        <v>1741</v>
      </c>
      <c r="M8" s="784">
        <f ca="1">INDIRECT("'数据-取费表'!ai"&amp;$G$1)</f>
        <v>12</v>
      </c>
    </row>
    <row r="9" spans="1:33" ht="18" customHeight="1">
      <c r="A9" s="785"/>
      <c r="B9" s="3454"/>
      <c r="C9" s="787"/>
      <c r="D9" s="788"/>
      <c r="E9" s="783" t="s">
        <v>1742</v>
      </c>
      <c r="F9" s="793">
        <f ca="1">INDIRECT("'数据-取费表'!w"&amp;$G$1)</f>
        <v>0.1</v>
      </c>
      <c r="G9" s="1592"/>
      <c r="H9" s="2506"/>
      <c r="I9" s="3453"/>
      <c r="J9" s="787"/>
      <c r="K9" s="788"/>
      <c r="L9" s="794" t="s">
        <v>1742</v>
      </c>
      <c r="M9" s="795">
        <f ca="1">INDIRECT("'数据-取费表'!ab"&amp;$G$1)</f>
        <v>0</v>
      </c>
    </row>
    <row r="10" spans="1:33" ht="18" customHeight="1">
      <c r="A10" s="1831" t="s">
        <v>2469</v>
      </c>
      <c r="B10" s="2495" t="s">
        <v>2462</v>
      </c>
      <c r="C10" s="798">
        <f ca="1">ROUND(IF(F10="押一",C6/12*F11,IF(F10="押二",C6/12*2*F11,IF(F10="押三",C6/12*3*F11,C11*F11))),0)</f>
        <v>0</v>
      </c>
      <c r="D10" s="2502" t="s">
        <v>2976</v>
      </c>
      <c r="E10" s="2499" t="s">
        <v>2467</v>
      </c>
      <c r="F10" s="2622" t="s">
        <v>3144</v>
      </c>
      <c r="G10" s="1592"/>
      <c r="H10" s="2562" t="s">
        <v>2472</v>
      </c>
      <c r="I10" s="2567" t="s">
        <v>2462</v>
      </c>
      <c r="J10" s="782">
        <f ca="1">ROUND(IF(M10="押一",J6/12*M11,IF(M10="押二",J6/12*2*M11,IF(M10="押三",J6/12*3*M11,J11*M11))),0)</f>
        <v>0</v>
      </c>
      <c r="K10" s="2502" t="s">
        <v>2976</v>
      </c>
      <c r="L10" s="2499" t="s">
        <v>2467</v>
      </c>
      <c r="M10" s="2622"/>
    </row>
    <row r="11" spans="1:33" ht="18" customHeight="1">
      <c r="A11" s="789"/>
      <c r="B11" s="2496" t="s">
        <v>2576</v>
      </c>
      <c r="C11" s="2500"/>
      <c r="D11" s="788"/>
      <c r="E11" s="2499" t="s">
        <v>2468</v>
      </c>
      <c r="F11" s="795">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1">
        <f ca="1">ROUND(C29*F13,0)</f>
        <v>701</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3" t="s">
        <v>645</v>
      </c>
      <c r="C14" s="803">
        <f ca="1">INDIRECT("'数据-取费表'!m"&amp;$G$1)+INDIRECT("'数据-取费表'!t"&amp;$G$1)</f>
        <v>531</v>
      </c>
      <c r="D14" s="1980" t="s">
        <v>1746</v>
      </c>
      <c r="E14" s="1981"/>
      <c r="F14" s="804"/>
      <c r="G14" s="1592"/>
      <c r="H14" s="1649" t="s">
        <v>1831</v>
      </c>
      <c r="I14" s="2232" t="s">
        <v>2829</v>
      </c>
      <c r="J14" s="53">
        <f ca="1">C29</f>
        <v>701</v>
      </c>
      <c r="K14" s="26"/>
      <c r="L14" s="800"/>
      <c r="M14" s="801"/>
    </row>
    <row r="15" spans="1:33" s="2065" customFormat="1" ht="18" customHeight="1" thickBot="1">
      <c r="A15" s="1648" t="s">
        <v>1886</v>
      </c>
      <c r="B15" s="783" t="s">
        <v>647</v>
      </c>
      <c r="C15" s="53">
        <f ca="1">ROUND(C14*F15,0)</f>
        <v>16</v>
      </c>
      <c r="D15" s="805" t="s">
        <v>1747</v>
      </c>
      <c r="E15" s="805" t="s">
        <v>1748</v>
      </c>
      <c r="F15" s="806">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66</v>
      </c>
      <c r="K16" s="1822" t="s">
        <v>1751</v>
      </c>
      <c r="L16" s="2487"/>
      <c r="M16" s="2492"/>
    </row>
    <row r="17" spans="1:33" s="2065" customFormat="1" ht="18" customHeight="1">
      <c r="A17" s="1648" t="s">
        <v>1888</v>
      </c>
      <c r="B17" s="783" t="s">
        <v>653</v>
      </c>
      <c r="C17" s="53">
        <f ca="1">ROUND(F17*(F43+INDIRECT("'数据-取费表'!S"&amp;$G$1))/10000,0)</f>
        <v>49</v>
      </c>
      <c r="D17" s="783" t="s">
        <v>1752</v>
      </c>
      <c r="E17" s="783" t="s">
        <v>1753</v>
      </c>
      <c r="F17" s="56">
        <f>'数据-取费表'!B35</f>
        <v>200</v>
      </c>
      <c r="G17" s="1593"/>
      <c r="H17" s="1649" t="s">
        <v>1831</v>
      </c>
      <c r="I17" s="783" t="s">
        <v>656</v>
      </c>
      <c r="J17" s="53">
        <f ca="1">ROUND(IF(项目基本情况!B11="自然人",J5*M17,J18+J19+J20),0)</f>
        <v>59</v>
      </c>
      <c r="K17" s="2486" t="s">
        <v>1754</v>
      </c>
      <c r="L17" s="2485"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3">
        <f ca="1">ROUND(C14*F18,0)</f>
        <v>8</v>
      </c>
      <c r="D18" s="783" t="s">
        <v>1747</v>
      </c>
      <c r="E18" s="783" t="s">
        <v>1748</v>
      </c>
      <c r="F18" s="808">
        <f>'数据-取费表'!B36</f>
        <v>1.4999999999999999E-2</v>
      </c>
      <c r="G18" s="1593"/>
      <c r="H18" s="1648" t="s">
        <v>1885</v>
      </c>
      <c r="I18" s="783" t="s">
        <v>1756</v>
      </c>
      <c r="J18" s="53">
        <f ca="1">ROUND(J5*M18/1.05,1)</f>
        <v>0</v>
      </c>
      <c r="K18" s="2485" t="s">
        <v>1757</v>
      </c>
      <c r="L18" s="783" t="s">
        <v>1748</v>
      </c>
      <c r="M18" s="808">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3">
        <f ca="1">SUM(C14:C18)</f>
        <v>604</v>
      </c>
      <c r="D19" s="260" t="s">
        <v>1758</v>
      </c>
      <c r="E19" s="1983"/>
      <c r="F19" s="56"/>
      <c r="G19" s="1592"/>
      <c r="H19" s="1648" t="s">
        <v>1886</v>
      </c>
      <c r="I19" s="783" t="s">
        <v>1759</v>
      </c>
      <c r="J19" s="53">
        <f ca="1">IF(K19="按租金收入计税",ROUND(J5*M19,1),ROUND(C29*F33*0.7,1))</f>
        <v>58.9</v>
      </c>
      <c r="K19" s="810" t="s">
        <v>665</v>
      </c>
      <c r="L19" s="783" t="s">
        <v>1748</v>
      </c>
      <c r="M19" s="808">
        <f>IF(K19="按租金收入计税",'数据-取费表'!B51,'数据-取费表'!B50)</f>
        <v>1.2E-2</v>
      </c>
    </row>
    <row r="20" spans="1:33" s="2065" customFormat="1" ht="18" customHeight="1">
      <c r="A20" s="1649" t="s">
        <v>1890</v>
      </c>
      <c r="B20" s="783" t="s">
        <v>666</v>
      </c>
      <c r="C20" s="53">
        <f ca="1">ROUND(C19*F20,0)</f>
        <v>12</v>
      </c>
      <c r="D20" s="811" t="s">
        <v>1760</v>
      </c>
      <c r="E20" s="783" t="s">
        <v>1748</v>
      </c>
      <c r="F20" s="808">
        <f>'数据-取费表'!B37</f>
        <v>0.02</v>
      </c>
      <c r="G20" s="1593"/>
      <c r="H20" s="1651" t="s">
        <v>1881</v>
      </c>
      <c r="I20" s="340" t="s">
        <v>1761</v>
      </c>
      <c r="J20" s="54">
        <f ca="1">ROUND(M20*M21/10000,0)</f>
        <v>0</v>
      </c>
      <c r="K20" s="813" t="s">
        <v>1762</v>
      </c>
      <c r="L20" s="783" t="s">
        <v>1763</v>
      </c>
      <c r="M20" s="639">
        <f>'数据-取费表'!B52</f>
        <v>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3" t="s">
        <v>1765</v>
      </c>
      <c r="D21" s="811" t="s">
        <v>2301</v>
      </c>
      <c r="E21" s="783" t="s">
        <v>1766</v>
      </c>
      <c r="F21" s="808">
        <f>'数据-取费表'!B38</f>
        <v>0.01</v>
      </c>
      <c r="G21" s="1593"/>
      <c r="H21" s="2507"/>
      <c r="I21" s="792"/>
      <c r="J21" s="69"/>
      <c r="K21" s="815"/>
      <c r="L21" s="783" t="s">
        <v>1767</v>
      </c>
      <c r="M21" s="784">
        <f ca="1">INDIRECT("'数据-取费表'!r"&amp;$G$1)</f>
        <v>702.81000000000006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3"/>
      <c r="D22" s="2573" t="str">
        <f>IF(F23&lt;=1,"单利计息。","复利计息。")&amp;"建造成本、管理费用、销售费用产生的利息。"</f>
        <v>复利计息。建造成本、管理费用、销售费用产生的利息。</v>
      </c>
      <c r="E22" s="1983"/>
      <c r="F22" s="56"/>
      <c r="G22" s="1592"/>
      <c r="H22" s="1649" t="s">
        <v>1890</v>
      </c>
      <c r="I22" s="783" t="s">
        <v>1769</v>
      </c>
      <c r="J22" s="53">
        <f ca="1">ROUND(J14*M22,0)</f>
        <v>7</v>
      </c>
      <c r="K22" s="2485" t="s">
        <v>1770</v>
      </c>
      <c r="L22" s="783" t="s">
        <v>1748</v>
      </c>
      <c r="M22" s="816">
        <f ca="1">INDIRECT("'数据-取费表'!Ak"&amp;$G$1)</f>
        <v>0.01</v>
      </c>
    </row>
    <row r="23" spans="1:33" s="2065" customFormat="1" ht="18" customHeight="1">
      <c r="A23" s="1648" t="s">
        <v>1832</v>
      </c>
      <c r="B23" s="783" t="s">
        <v>2538</v>
      </c>
      <c r="C23" s="53">
        <f ca="1">ROUND(IF('数据-取费表'!B22&lt;=1,(C19+C20)*F24*F23/2,(C19+C20)*(POWER((1+F24),F23/2)-1)),0)</f>
        <v>22</v>
      </c>
      <c r="D23" s="2572"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2485" t="s">
        <v>1772</v>
      </c>
      <c r="L23" s="783" t="s">
        <v>1748</v>
      </c>
      <c r="M23" s="817">
        <f ca="1">INDIRECT("'数据-取费表'!Al"&amp;$G$1)</f>
        <v>1E-3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3">
        <f ca="1">ROUND(IF('数据-取费表'!B22&lt;=1,F21*F24*F23/2,F21*(POWER((1+F24),F23/2)-1)),4)</f>
        <v>4.0000000000000002E-4</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3"/>
      <c r="D25" s="260" t="s">
        <v>1776</v>
      </c>
      <c r="E25" s="1983"/>
      <c r="F25" s="56"/>
      <c r="G25" s="1592"/>
      <c r="H25" s="1830" t="s">
        <v>1777</v>
      </c>
      <c r="I25" s="3011" t="s">
        <v>2825</v>
      </c>
      <c r="J25" s="791">
        <f ca="1">J5-J16</f>
        <v>-66</v>
      </c>
      <c r="K25" s="2549" t="s">
        <v>1778</v>
      </c>
      <c r="L25" s="2550"/>
      <c r="M25" s="2551"/>
    </row>
    <row r="26" spans="1:33" ht="18" customHeight="1">
      <c r="A26" s="1648" t="s">
        <v>1832</v>
      </c>
      <c r="B26" s="783" t="s">
        <v>2441</v>
      </c>
      <c r="C26" s="53">
        <f ca="1">ROUND((C19+C20)*F26,0)</f>
        <v>18</v>
      </c>
      <c r="D26" s="811" t="s">
        <v>1779</v>
      </c>
      <c r="E26" s="794" t="s">
        <v>1780</v>
      </c>
      <c r="F26" s="793">
        <f ca="1">INDIRECT("'数据-取费表'!q"&amp;$G$1)</f>
        <v>0.03</v>
      </c>
      <c r="G26" s="1592"/>
      <c r="H26" s="2503" t="s">
        <v>1781</v>
      </c>
      <c r="I26" s="2233" t="s">
        <v>2830</v>
      </c>
      <c r="J26" s="782">
        <f ca="1">IF(J5&lt;&gt;0,ROUND(J25*(1-((1+M28)/(1+M26))^M27)/(M26-M28),0),0)</f>
        <v>0</v>
      </c>
      <c r="K26" s="813" t="s">
        <v>1782</v>
      </c>
      <c r="L26" s="783" t="s">
        <v>2422</v>
      </c>
      <c r="M26" s="793">
        <f ca="1">INDIRECT("'数据-取费表'!I"&amp;$G$1)</f>
        <v>4.4999999999999998E-2</v>
      </c>
    </row>
    <row r="27" spans="1:33" ht="18" customHeight="1">
      <c r="A27" s="1648" t="s">
        <v>1833</v>
      </c>
      <c r="B27" s="783" t="s">
        <v>686</v>
      </c>
      <c r="C27" s="53">
        <f ca="1">ROUND(F21*F26,4)</f>
        <v>2.9999999999999997E-4</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3">
        <f>ROUND(F28/(1+'数据-取费表'!C42),4)</f>
        <v>5.33E-2</v>
      </c>
      <c r="D28" s="811" t="s">
        <v>2302</v>
      </c>
      <c r="E28" s="783" t="s">
        <v>1786</v>
      </c>
      <c r="F28" s="808">
        <f>'数据-取费表'!B41</f>
        <v>5.6000000000000001E-2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701</v>
      </c>
      <c r="D29" s="2546"/>
      <c r="E29" s="2547"/>
      <c r="F29" s="2548"/>
      <c r="G29" s="1593"/>
      <c r="H29" s="822" t="s">
        <v>1788</v>
      </c>
      <c r="I29" s="823" t="s">
        <v>1789</v>
      </c>
      <c r="J29" s="824">
        <f ca="1">ROUND(J26/(1+F40)^F41,0)</f>
        <v>0</v>
      </c>
      <c r="K29" s="825" t="s">
        <v>1790</v>
      </c>
      <c r="L29" s="826"/>
      <c r="M29" s="827">
        <f ca="1">INDIRECT("'数据-取费表'!k"&amp;$G$1)</f>
        <v>2251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15</v>
      </c>
      <c r="D30" s="1822" t="s">
        <v>1792</v>
      </c>
      <c r="E30" s="2487"/>
      <c r="F30" s="2492"/>
      <c r="G30" s="2063"/>
      <c r="H30" s="2066"/>
      <c r="I30" s="2067"/>
      <c r="J30" s="2068"/>
      <c r="K30" s="2069"/>
      <c r="L30" s="2070"/>
      <c r="M30" s="2071"/>
    </row>
    <row r="31" spans="1:33" ht="18" customHeight="1">
      <c r="A31" s="1649" t="s">
        <v>1831</v>
      </c>
      <c r="B31" s="783" t="s">
        <v>656</v>
      </c>
      <c r="C31" s="53">
        <f ca="1">ROUND(IF(项目基本情况!B11="自然人",C5*F31,C32+C33+C34),1)</f>
        <v>7.3</v>
      </c>
      <c r="D31" s="1980" t="s">
        <v>1793</v>
      </c>
      <c r="E31" s="1978"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3">
        <f ca="1">ROUND(C5*F32/1.05,1)</f>
        <v>2.1</v>
      </c>
      <c r="D32" s="1978" t="s">
        <v>1796</v>
      </c>
      <c r="E32" s="783" t="s">
        <v>1797</v>
      </c>
      <c r="F32" s="808">
        <f>'数据-取费表'!B41</f>
        <v>5.6000000000000001E-2</v>
      </c>
      <c r="G32" s="2063"/>
      <c r="H32" s="2072"/>
      <c r="I32" s="2073"/>
      <c r="J32" s="2074"/>
      <c r="K32" s="2075"/>
      <c r="L32" s="2076"/>
      <c r="M32" s="2077"/>
    </row>
    <row r="33" spans="1:18" ht="18" customHeight="1">
      <c r="A33" s="1648" t="s">
        <v>1833</v>
      </c>
      <c r="B33" s="783" t="s">
        <v>1798</v>
      </c>
      <c r="C33" s="53">
        <f ca="1">IF(D33="按租金收入计税",ROUND(C5*F33,1),IF(D33="按房产原值计税",ROUND(C29*F33*0.7,1),INDIRECT("'数据-取费表'!Aj"&amp;$G$1)))</f>
        <v>4.8</v>
      </c>
      <c r="D33" s="810" t="s">
        <v>3145</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4">
        <f ca="1">ROUND(F34*F35/10000,1)</f>
        <v>0.4</v>
      </c>
      <c r="D34" s="813" t="s">
        <v>1800</v>
      </c>
      <c r="E34" s="783" t="s">
        <v>1801</v>
      </c>
      <c r="F34" s="639">
        <f>'数据-取费表'!B52</f>
        <v>6</v>
      </c>
      <c r="G34" s="2063"/>
      <c r="H34" s="2066"/>
      <c r="I34" s="834" t="s">
        <v>1814</v>
      </c>
      <c r="J34" s="835"/>
      <c r="K34" s="2081"/>
      <c r="L34" s="2080"/>
      <c r="M34" s="2080"/>
    </row>
    <row r="35" spans="1:18" ht="18" customHeight="1">
      <c r="A35" s="814"/>
      <c r="B35" s="792"/>
      <c r="C35" s="69"/>
      <c r="D35" s="815"/>
      <c r="E35" s="783" t="s">
        <v>1802</v>
      </c>
      <c r="F35" s="784">
        <f ca="1">INDIRECT("'数据-取费表'!r"&amp;$G$1)</f>
        <v>702.81000000000006</v>
      </c>
      <c r="G35" s="2063"/>
      <c r="H35" s="2066"/>
      <c r="I35" s="836" t="s">
        <v>1815</v>
      </c>
      <c r="J35" s="837">
        <f ca="1">ROUND(C13*J36,0)</f>
        <v>60</v>
      </c>
      <c r="K35" s="2079"/>
      <c r="L35" s="2078"/>
      <c r="M35" s="2078"/>
    </row>
    <row r="36" spans="1:18" ht="18" customHeight="1">
      <c r="A36" s="1649" t="s">
        <v>1890</v>
      </c>
      <c r="B36" s="783" t="s">
        <v>1803</v>
      </c>
      <c r="C36" s="53">
        <f ca="1">ROUND(C29*F36,1)</f>
        <v>7</v>
      </c>
      <c r="D36" s="1978" t="s">
        <v>1804</v>
      </c>
      <c r="E36" s="783" t="s">
        <v>1797</v>
      </c>
      <c r="F36" s="816">
        <f ca="1">INDIRECT("'数据-取费表'!Ak"&amp;$G$1)</f>
        <v>0.01</v>
      </c>
      <c r="G36" s="2063"/>
      <c r="H36" s="2078"/>
      <c r="I36" s="838" t="s">
        <v>1816</v>
      </c>
      <c r="J36" s="839">
        <f ca="1">INDIRECT("'数据-取费表'!j"&amp;$G$1)</f>
        <v>8.5000000000000006E-2</v>
      </c>
      <c r="K36" s="2083"/>
      <c r="L36" s="2078"/>
      <c r="M36" s="2078"/>
    </row>
    <row r="37" spans="1:18" ht="18" customHeight="1">
      <c r="A37" s="1649" t="s">
        <v>1891</v>
      </c>
      <c r="B37" s="783" t="s">
        <v>679</v>
      </c>
      <c r="C37" s="53">
        <f ca="1">ROUND(C13*F37,1)</f>
        <v>0.7</v>
      </c>
      <c r="D37" s="1978" t="s">
        <v>1805</v>
      </c>
      <c r="E37" s="783" t="s">
        <v>1797</v>
      </c>
      <c r="F37" s="817">
        <f ca="1">INDIRECT("'数据-取费表'!Al"&amp;$G$1)</f>
        <v>1E-3</v>
      </c>
      <c r="G37" s="2063"/>
      <c r="H37" s="2078"/>
      <c r="I37" s="840" t="s">
        <v>1817</v>
      </c>
      <c r="J37" s="841"/>
      <c r="K37" s="2083"/>
      <c r="L37" s="2078"/>
      <c r="M37" s="2078"/>
    </row>
    <row r="38" spans="1:18" ht="18" customHeight="1" thickBot="1">
      <c r="A38" s="2552" t="s">
        <v>1892</v>
      </c>
      <c r="B38" s="2547" t="s">
        <v>666</v>
      </c>
      <c r="C38" s="2545">
        <f ca="1">ROUND(C5*F38,1)</f>
        <v>0.4</v>
      </c>
      <c r="D38" s="2546" t="s">
        <v>1806</v>
      </c>
      <c r="E38" s="2547" t="s">
        <v>1797</v>
      </c>
      <c r="F38" s="2543">
        <f ca="1">INDIRECT("'数据-取费表'!Am"&amp;$G$1)</f>
        <v>0.01</v>
      </c>
      <c r="G38" s="2063"/>
      <c r="H38" s="2078"/>
      <c r="I38" s="842" t="s">
        <v>1818</v>
      </c>
      <c r="J38" s="843"/>
      <c r="K38" s="2084"/>
      <c r="L38" s="2078"/>
      <c r="M38" s="2078"/>
    </row>
    <row r="39" spans="1:18" ht="24.6" customHeight="1" thickTop="1">
      <c r="A39" s="1830" t="s">
        <v>1895</v>
      </c>
      <c r="B39" s="3011" t="s">
        <v>2825</v>
      </c>
      <c r="C39" s="791">
        <f ca="1">C5-C30</f>
        <v>25</v>
      </c>
      <c r="D39" s="2549" t="s">
        <v>1807</v>
      </c>
      <c r="E39" s="2550"/>
      <c r="F39" s="2551"/>
      <c r="G39" s="2063"/>
      <c r="H39" s="2078"/>
      <c r="I39" s="836" t="s">
        <v>1819</v>
      </c>
      <c r="J39" s="844">
        <f ca="1">ROUND(J35/C39,3)</f>
        <v>2.4</v>
      </c>
      <c r="K39" s="2084"/>
      <c r="L39" s="2078"/>
      <c r="M39" s="2078"/>
    </row>
    <row r="40" spans="1:18" ht="18" customHeight="1">
      <c r="A40" s="780" t="s">
        <v>1896</v>
      </c>
      <c r="B40" s="2233" t="s">
        <v>2304</v>
      </c>
      <c r="C40" s="782">
        <f ca="1">ROUND(C39*(1-((1+F42)/(1+F40))^F41)/(F40-F42),0)</f>
        <v>501</v>
      </c>
      <c r="D40" s="813" t="s">
        <v>1808</v>
      </c>
      <c r="E40" s="783" t="s">
        <v>2422</v>
      </c>
      <c r="F40" s="793">
        <f ca="1">INDIRECT("'数据-取费表'!I"&amp;$G$1)</f>
        <v>4.4999999999999998E-2</v>
      </c>
      <c r="G40" s="2063"/>
      <c r="H40" s="2063"/>
      <c r="I40" s="836" t="s">
        <v>1820</v>
      </c>
      <c r="J40" s="844">
        <f ca="1">1-J39</f>
        <v>-1.4</v>
      </c>
      <c r="K40" s="2084"/>
      <c r="L40" s="2063"/>
      <c r="M40" s="2063"/>
    </row>
    <row r="41" spans="1:18" ht="18" customHeight="1">
      <c r="A41" s="785"/>
      <c r="B41" s="786"/>
      <c r="C41" s="787"/>
      <c r="D41" s="820" t="s">
        <v>1809</v>
      </c>
      <c r="E41" s="783" t="s">
        <v>2966</v>
      </c>
      <c r="F41" s="821">
        <f ca="1">IF(INDIRECT("'数据-取费表'!af"&amp;$G$1)=0,INDIRECT("'数据-取费表'!ae"&amp;$G$1),INDIRECT("'数据-取费表'!af"&amp;$G$1))</f>
        <v>28.71</v>
      </c>
      <c r="G41" s="2063"/>
      <c r="H41" s="1989"/>
      <c r="I41" s="842" t="s">
        <v>1821</v>
      </c>
      <c r="J41" s="845"/>
      <c r="K41" s="2083"/>
      <c r="L41" s="1989"/>
      <c r="M41" s="1989"/>
    </row>
    <row r="42" spans="1:18" ht="18" customHeight="1">
      <c r="A42" s="789"/>
      <c r="B42" s="790"/>
      <c r="C42" s="791"/>
      <c r="D42" s="815"/>
      <c r="E42" s="783" t="s">
        <v>1810</v>
      </c>
      <c r="F42" s="793">
        <f ca="1">INDIRECT("'数据-取费表'!v"&amp;$G$1)</f>
        <v>0.02</v>
      </c>
      <c r="G42" s="2063"/>
      <c r="H42" s="1989"/>
      <c r="I42" s="846" t="s">
        <v>1822</v>
      </c>
      <c r="J42" s="844">
        <f ca="1">ROUND(C13/C40,3)</f>
        <v>1.399</v>
      </c>
      <c r="K42" s="2083"/>
      <c r="L42" s="1989"/>
      <c r="M42" s="1989"/>
    </row>
    <row r="43" spans="1:18" ht="18" customHeight="1" thickBot="1">
      <c r="A43" s="822" t="s">
        <v>1788</v>
      </c>
      <c r="B43" s="823" t="s">
        <v>1811</v>
      </c>
      <c r="C43" s="824">
        <f ca="1">ROUND(C40*10000/F43,0)</f>
        <v>2226</v>
      </c>
      <c r="D43" s="825" t="s">
        <v>1812</v>
      </c>
      <c r="E43" s="826" t="s">
        <v>1813</v>
      </c>
      <c r="F43" s="827">
        <f ca="1">INDIRECT("'数据-取费表'!k"&amp;$G$1)</f>
        <v>2251</v>
      </c>
      <c r="G43" s="2063"/>
      <c r="H43" s="1989"/>
      <c r="I43" s="846" t="s">
        <v>1823</v>
      </c>
      <c r="J43" s="847">
        <f ca="1">1-J42</f>
        <v>-0.39900000000000002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-629</v>
      </c>
      <c r="D46" s="2086"/>
      <c r="E46" s="2086"/>
      <c r="F46" s="2086"/>
      <c r="I46" s="2379" t="s">
        <v>2346</v>
      </c>
      <c r="J46" s="2380"/>
      <c r="K46" s="2381"/>
      <c r="L46" s="3159">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49" t="s">
        <v>2347</v>
      </c>
      <c r="J47" s="2382" t="s">
        <v>3146</v>
      </c>
      <c r="K47" s="3156" t="s">
        <v>2352</v>
      </c>
      <c r="L47" s="3160">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5" t="s">
        <v>2348</v>
      </c>
      <c r="J48" s="2383" t="s">
        <v>2353</v>
      </c>
      <c r="K48" s="3157" t="s">
        <v>2354</v>
      </c>
      <c r="L48" s="1909">
        <f ca="1">INDIRECT("'数据-取费表'!f"&amp;$G$1)</f>
        <v>30.21</v>
      </c>
      <c r="O48" s="2399" t="s">
        <v>2382</v>
      </c>
      <c r="P48" s="2400" t="s">
        <v>2408</v>
      </c>
      <c r="Q48" s="2401">
        <f ca="1">C40+J29</f>
        <v>501</v>
      </c>
      <c r="R48" s="2400" t="s">
        <v>2383</v>
      </c>
    </row>
    <row r="49" spans="1:18" s="2060" customFormat="1" ht="18" customHeight="1" thickBot="1">
      <c r="A49" s="785"/>
      <c r="B49" s="786"/>
      <c r="C49" s="787"/>
      <c r="D49" s="788"/>
      <c r="E49" s="783" t="s">
        <v>1740</v>
      </c>
      <c r="F49" s="784">
        <f ca="1">F7</f>
        <v>46</v>
      </c>
      <c r="G49" s="2091"/>
      <c r="H49" s="2094"/>
      <c r="I49" s="3125" t="s">
        <v>2349</v>
      </c>
      <c r="J49" s="2384">
        <v>2018</v>
      </c>
      <c r="K49" s="3158" t="s">
        <v>2355</v>
      </c>
      <c r="L49" s="2385"/>
      <c r="O49" s="2399" t="s">
        <v>2384</v>
      </c>
      <c r="P49" s="2400" t="s">
        <v>2409</v>
      </c>
      <c r="Q49" s="2401" t="str">
        <f ca="1">J60</f>
        <v>0</v>
      </c>
      <c r="R49" s="2400" t="s">
        <v>2385</v>
      </c>
    </row>
    <row r="50" spans="1:18" s="2060" customFormat="1" ht="18" customHeight="1" thickBot="1">
      <c r="A50" s="785"/>
      <c r="B50" s="786"/>
      <c r="C50" s="787"/>
      <c r="D50" s="788"/>
      <c r="E50" s="783" t="s">
        <v>1741</v>
      </c>
      <c r="F50" s="784">
        <f ca="1">F8</f>
        <v>12</v>
      </c>
      <c r="G50" s="2096"/>
      <c r="H50" s="2094"/>
      <c r="I50" s="3125" t="s">
        <v>2350</v>
      </c>
      <c r="J50" s="3153">
        <f>SUMPRODUCT((I63:I65=J47)*(J62:L62=J48)*(J63:L65))</f>
        <v>60</v>
      </c>
      <c r="K50" s="3158" t="s">
        <v>2356</v>
      </c>
      <c r="L50" s="2385"/>
      <c r="O50" s="2402" t="s">
        <v>2386</v>
      </c>
      <c r="P50" s="2400" t="s">
        <v>2410</v>
      </c>
      <c r="Q50" s="2401">
        <f ca="1">C29</f>
        <v>701</v>
      </c>
      <c r="R50" s="2400" t="s">
        <v>2383</v>
      </c>
    </row>
    <row r="51" spans="1:18" s="2060" customFormat="1" ht="18" customHeight="1" thickBot="1">
      <c r="A51" s="785"/>
      <c r="B51" s="786"/>
      <c r="C51" s="787"/>
      <c r="D51" s="788"/>
      <c r="E51" s="783" t="s">
        <v>640</v>
      </c>
      <c r="F51" s="2372"/>
      <c r="H51" s="2094"/>
      <c r="I51" s="3150" t="s">
        <v>2351</v>
      </c>
      <c r="J51" s="3154">
        <f>IF(J49="",J50,J49+J50-YEAR('数据-取费表'!B2))</f>
        <v>60</v>
      </c>
      <c r="K51" s="3125" t="s">
        <v>2357</v>
      </c>
      <c r="L51" s="3161">
        <f ca="1">ROUND(-PV(INDIRECT("'数据-取费表'!h"&amp;$G$1),L48,(C39-C13*J36),0),0)</f>
        <v>-600</v>
      </c>
      <c r="O51" s="2402" t="s">
        <v>2387</v>
      </c>
      <c r="P51" s="2400" t="s">
        <v>2388</v>
      </c>
      <c r="Q51" s="2403" t="e">
        <f ca="1">J58</f>
        <v>#VALUE!</v>
      </c>
      <c r="R51" s="2404"/>
    </row>
    <row r="52" spans="1:18" s="2060" customFormat="1" ht="18" customHeight="1" thickBot="1">
      <c r="A52" s="780" t="s">
        <v>2539</v>
      </c>
      <c r="B52" s="2495" t="s">
        <v>2462</v>
      </c>
      <c r="C52" s="798">
        <f ca="1">ROUND(IF(F52="押一",C48/12*F11,IF(F52="押二",C48/12*2*F11,IF(F52="押三",C48/12*3*F11,C53*F11))),0)</f>
        <v>0</v>
      </c>
      <c r="D52" s="2502" t="s">
        <v>2977</v>
      </c>
      <c r="E52" s="2499" t="s">
        <v>2467</v>
      </c>
      <c r="F52" s="2622"/>
      <c r="I52" s="3151" t="s">
        <v>2424</v>
      </c>
      <c r="J52" s="2386"/>
      <c r="K52" s="3151" t="s">
        <v>2423</v>
      </c>
      <c r="L52" s="2386"/>
      <c r="O52" s="2402" t="s">
        <v>2389</v>
      </c>
      <c r="P52" s="2400" t="s">
        <v>2390</v>
      </c>
      <c r="Q52" s="2403">
        <f>J52</f>
        <v>0</v>
      </c>
      <c r="R52" s="2404"/>
    </row>
    <row r="53" spans="1:18" s="2060" customFormat="1" ht="39.75" customHeight="1" thickBot="1">
      <c r="A53" s="785"/>
      <c r="B53" s="2496" t="s">
        <v>2576</v>
      </c>
      <c r="C53" s="2500"/>
      <c r="D53" s="2502"/>
      <c r="E53" s="2499"/>
      <c r="F53" s="799"/>
      <c r="I53" s="3152" t="s">
        <v>2981</v>
      </c>
      <c r="J53" s="3155">
        <f ca="1">IF(M47="住宅",IF(D1="——",MAX(J51,L48),MAX(J51,L48-'数据-取费表'!B20)),IF(D1="——",MIN(J51,L48),MIN(J51,L48-'数据-取费表'!B20)))</f>
        <v>28.71</v>
      </c>
      <c r="K53" s="3475" t="s">
        <v>2968</v>
      </c>
      <c r="L53" s="3476"/>
      <c r="O53" s="2402" t="s">
        <v>2391</v>
      </c>
      <c r="P53" s="2400" t="s">
        <v>2392</v>
      </c>
      <c r="Q53" s="2401">
        <f ca="1">J53</f>
        <v>28.71</v>
      </c>
      <c r="R53" s="2400" t="s">
        <v>2393</v>
      </c>
    </row>
    <row r="54" spans="1:18" s="2060" customFormat="1" ht="18" customHeight="1" thickBot="1">
      <c r="A54" s="2538" t="s">
        <v>2470</v>
      </c>
      <c r="B54" s="2539" t="s">
        <v>2463</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501</v>
      </c>
      <c r="R54" s="2404" t="s">
        <v>2395</v>
      </c>
    </row>
    <row r="55" spans="1:18" s="2060" customFormat="1" ht="18" customHeight="1" thickTop="1" thickBot="1">
      <c r="A55" s="796">
        <v>2</v>
      </c>
      <c r="B55" s="797" t="s">
        <v>644</v>
      </c>
      <c r="C55" s="798">
        <f ca="1">C13</f>
        <v>701</v>
      </c>
      <c r="D55" s="794"/>
      <c r="E55" s="794"/>
      <c r="F55" s="799"/>
      <c r="I55" s="3164" t="s">
        <v>2358</v>
      </c>
      <c r="J55" s="3100" t="e">
        <f ca="1">ROUND(IF(J47="钢混",J57/J50,1-(1-2%)*(J50-J57)/J50),3)</f>
        <v>#VALUE!</v>
      </c>
      <c r="K55" s="3165" t="s">
        <v>2359</v>
      </c>
      <c r="L55" s="2387"/>
      <c r="O55" s="2405" t="s">
        <v>2414</v>
      </c>
      <c r="P55" s="1592"/>
      <c r="Q55" s="1604"/>
      <c r="R55" s="1592"/>
    </row>
    <row r="56" spans="1:18" s="2060" customFormat="1" ht="42.75" customHeight="1" thickBot="1">
      <c r="A56" s="1650"/>
      <c r="B56" s="2232" t="s">
        <v>2305</v>
      </c>
      <c r="C56" s="53">
        <f ca="1">C29</f>
        <v>701</v>
      </c>
      <c r="D56" s="2640"/>
      <c r="E56" s="783"/>
      <c r="F56" s="808"/>
      <c r="I56" s="3166" t="s">
        <v>2360</v>
      </c>
      <c r="J56" s="3176" t="s">
        <v>1679</v>
      </c>
      <c r="K56" s="3125" t="s">
        <v>2365</v>
      </c>
      <c r="L56" s="1909" t="str">
        <f ca="1">IF(L48&lt;J51,"——",L48-J51)</f>
        <v>——</v>
      </c>
      <c r="O56" s="2396" t="s">
        <v>2378</v>
      </c>
      <c r="P56" s="2397" t="s">
        <v>2379</v>
      </c>
      <c r="Q56" s="2398" t="s">
        <v>2380</v>
      </c>
      <c r="R56" s="2397" t="s">
        <v>2381</v>
      </c>
    </row>
    <row r="57" spans="1:18" s="2060" customFormat="1" ht="28.5" customHeight="1" thickBot="1">
      <c r="A57" s="796" t="s">
        <v>1749</v>
      </c>
      <c r="B57" s="797" t="s">
        <v>651</v>
      </c>
      <c r="C57" s="798">
        <f ca="1">ROUND(C58+C63+C64+C65,0)</f>
        <v>8</v>
      </c>
      <c r="D57" s="26" t="s">
        <v>1751</v>
      </c>
      <c r="E57" s="2641"/>
      <c r="F57" s="56"/>
      <c r="I57" s="3167" t="s">
        <v>2361</v>
      </c>
      <c r="J57" s="3168" t="str">
        <f ca="1">IF(OR(M47="住宅",J51&lt;L48,J56="是"),"——",J51-L48)</f>
        <v>——</v>
      </c>
      <c r="K57" s="3125" t="s">
        <v>2366</v>
      </c>
      <c r="L57" s="1909" t="str">
        <f ca="1">IF(L48&lt;J51,"——",IF(L55="比较法",L49,IF(L55="基准地价",L50,L51)))</f>
        <v>——</v>
      </c>
      <c r="O57" s="2399" t="s">
        <v>2382</v>
      </c>
      <c r="P57" s="2400" t="s">
        <v>2412</v>
      </c>
      <c r="Q57" s="2401">
        <f ca="1">C40+J29</f>
        <v>501</v>
      </c>
      <c r="R57" s="2400" t="s">
        <v>2383</v>
      </c>
    </row>
    <row r="58" spans="1:18" s="2060" customFormat="1" ht="28.5" customHeight="1" thickBot="1">
      <c r="A58" s="1649" t="s">
        <v>1825</v>
      </c>
      <c r="B58" s="783" t="s">
        <v>656</v>
      </c>
      <c r="C58" s="53">
        <f ca="1">ROUND(IF(项目基本情况!B11="自然人",C47*F58,C59+C60+C61),1)</f>
        <v>0.4</v>
      </c>
      <c r="D58" s="2639" t="s">
        <v>657</v>
      </c>
      <c r="E58" s="2640" t="s">
        <v>690</v>
      </c>
      <c r="F58" s="809" t="str">
        <f ca="1">IF(项目基本情况!B11="企业","",IF(INDIRECT("'数据-取费表'!c"&amp;$G$1)="住宅",5%,IF(F48*F49*F50/12/(1+'数据-取费表'!C42)&gt;20000,12%,7%)))</f>
        <v/>
      </c>
      <c r="I58" s="3167" t="s">
        <v>2362</v>
      </c>
      <c r="J58" s="3101" t="e">
        <f ca="1">IF(J55&lt;0.4,0.4,J55)</f>
        <v>#VALUE!</v>
      </c>
      <c r="K58" s="3125"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3" t="s">
        <v>660</v>
      </c>
      <c r="C59" s="53">
        <f ca="1">ROUND(C47*F59/1.05,1)</f>
        <v>0</v>
      </c>
      <c r="D59" s="2640" t="s">
        <v>1757</v>
      </c>
      <c r="E59" s="783" t="s">
        <v>1748</v>
      </c>
      <c r="F59" s="808">
        <f t="shared" ref="F59:F65" si="0">F32</f>
        <v>5.6000000000000001E-2</v>
      </c>
      <c r="I59" s="3167" t="s">
        <v>2363</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3" t="s">
        <v>1759</v>
      </c>
      <c r="C60" s="53">
        <f ca="1">IF(D60="按租金收入计税",ROUND(C47*F60,1),IF(D60="按房产原值计税",ROUND(C56*F60*0.7,1),INDIRECT("'数据-取费表'!Aj"&amp;$G$1)))</f>
        <v>0</v>
      </c>
      <c r="D60" s="2640" t="str">
        <f>D33</f>
        <v>按租金收入计税</v>
      </c>
      <c r="E60" s="783" t="s">
        <v>1748</v>
      </c>
      <c r="F60" s="808">
        <f t="shared" si="0"/>
        <v>0.12</v>
      </c>
      <c r="I60" s="3169" t="s">
        <v>2364</v>
      </c>
      <c r="J60" s="3170" t="str">
        <f ca="1">IF(OR(M47="住宅",J51&lt;L48,J56="是"),"0",ROUND(J59/(1+J52)^J53,0))</f>
        <v>0</v>
      </c>
      <c r="K60" s="3171" t="s">
        <v>2369</v>
      </c>
      <c r="L60" s="3170">
        <f ca="1">IF(OR(M47="住宅",L48&lt;J51),0,ROUND(L57*(L58/L59-1),0))</f>
        <v>0</v>
      </c>
      <c r="O60" s="2402" t="s">
        <v>2387</v>
      </c>
      <c r="P60" s="2400" t="s">
        <v>2396</v>
      </c>
      <c r="Q60" s="2403">
        <f>L52</f>
        <v>0</v>
      </c>
      <c r="R60" s="2404"/>
    </row>
    <row r="61" spans="1:18" s="2060" customFormat="1" ht="18" customHeight="1" thickBot="1">
      <c r="A61" s="1651" t="s">
        <v>1834</v>
      </c>
      <c r="B61" s="340" t="s">
        <v>668</v>
      </c>
      <c r="C61" s="54">
        <f ca="1">ROUND(F61*F62/10000,1)</f>
        <v>0.4</v>
      </c>
      <c r="D61" s="813" t="s">
        <v>669</v>
      </c>
      <c r="E61" s="783" t="s">
        <v>670</v>
      </c>
      <c r="F61" s="639">
        <f t="shared" si="0"/>
        <v>6</v>
      </c>
      <c r="K61" s="2087"/>
      <c r="O61" s="2402" t="s">
        <v>2389</v>
      </c>
      <c r="P61" s="2400" t="s">
        <v>2397</v>
      </c>
      <c r="Q61" s="2401" t="e">
        <f ca="1">L58</f>
        <v>#DIV/0!</v>
      </c>
      <c r="R61" s="2404" t="s">
        <v>2398</v>
      </c>
    </row>
    <row r="62" spans="1:18" s="2060" customFormat="1" ht="15.75" thickBot="1">
      <c r="A62" s="814"/>
      <c r="B62" s="792"/>
      <c r="C62" s="69"/>
      <c r="D62" s="815"/>
      <c r="E62" s="783" t="s">
        <v>674</v>
      </c>
      <c r="F62" s="784">
        <f t="shared" ca="1" si="0"/>
        <v>702.81000000000006</v>
      </c>
      <c r="I62" s="3172" t="s">
        <v>2370</v>
      </c>
      <c r="J62" s="3173" t="s">
        <v>2371</v>
      </c>
      <c r="K62" s="3173" t="s">
        <v>2372</v>
      </c>
      <c r="L62" s="3173" t="s">
        <v>2353</v>
      </c>
      <c r="M62" s="3174" t="s">
        <v>2944</v>
      </c>
      <c r="O62" s="2402" t="s">
        <v>2391</v>
      </c>
      <c r="P62" s="2400" t="str">
        <f>K59</f>
        <v>建设期及建筑物耐用年限下的土地年期修正系数Kn</v>
      </c>
      <c r="Q62" s="2401" t="e">
        <f ca="1">L59</f>
        <v>#DIV/0!</v>
      </c>
      <c r="R62" s="2404" t="s">
        <v>2400</v>
      </c>
    </row>
    <row r="63" spans="1:18" s="2060" customFormat="1" ht="15.75" thickBot="1">
      <c r="A63" s="1649" t="s">
        <v>1890</v>
      </c>
      <c r="B63" s="783" t="s">
        <v>676</v>
      </c>
      <c r="C63" s="53">
        <f ca="1">ROUND(C56*F63,1)</f>
        <v>7</v>
      </c>
      <c r="D63" s="2640" t="s">
        <v>1804</v>
      </c>
      <c r="E63" s="783" t="s">
        <v>1748</v>
      </c>
      <c r="F63" s="816">
        <f t="shared" ca="1" si="0"/>
        <v>0.01</v>
      </c>
      <c r="I63" s="3172" t="s">
        <v>2373</v>
      </c>
      <c r="J63" s="3173">
        <v>70</v>
      </c>
      <c r="K63" s="3173">
        <v>50</v>
      </c>
      <c r="L63" s="3173">
        <v>80</v>
      </c>
      <c r="M63" s="3175">
        <v>0.02</v>
      </c>
      <c r="O63" s="2399" t="s">
        <v>2394</v>
      </c>
      <c r="P63" s="2400" t="s">
        <v>2411</v>
      </c>
      <c r="Q63" s="2401">
        <f ca="1">Q57+Q58</f>
        <v>501</v>
      </c>
      <c r="R63" s="2404" t="s">
        <v>2395</v>
      </c>
    </row>
    <row r="64" spans="1:18" s="2060" customFormat="1" ht="16.5" thickBot="1">
      <c r="A64" s="1649" t="s">
        <v>1891</v>
      </c>
      <c r="B64" s="783" t="s">
        <v>679</v>
      </c>
      <c r="C64" s="53">
        <f ca="1">ROUND(C55*F64,1)</f>
        <v>0.7</v>
      </c>
      <c r="D64" s="2640" t="s">
        <v>680</v>
      </c>
      <c r="E64" s="783" t="s">
        <v>1748</v>
      </c>
      <c r="F64" s="817">
        <f t="shared" ca="1" si="0"/>
        <v>1E-3</v>
      </c>
      <c r="I64" s="3172" t="s">
        <v>2374</v>
      </c>
      <c r="J64" s="3173">
        <v>50</v>
      </c>
      <c r="K64" s="3173">
        <v>35</v>
      </c>
      <c r="L64" s="3173">
        <v>60</v>
      </c>
      <c r="M64" s="845">
        <v>0</v>
      </c>
      <c r="O64" s="2405" t="s">
        <v>2418</v>
      </c>
      <c r="P64" s="1592"/>
      <c r="Q64" s="1604"/>
      <c r="R64" s="1592"/>
    </row>
    <row r="65" spans="1:18" s="2060" customFormat="1" ht="15.75" thickBot="1">
      <c r="A65" s="1649" t="s">
        <v>1892</v>
      </c>
      <c r="B65" s="783" t="s">
        <v>666</v>
      </c>
      <c r="C65" s="53">
        <f ca="1">ROUND(C47*F65,1)</f>
        <v>0</v>
      </c>
      <c r="D65" s="2640" t="s">
        <v>683</v>
      </c>
      <c r="E65" s="783" t="s">
        <v>1748</v>
      </c>
      <c r="F65" s="793">
        <f t="shared" ca="1" si="0"/>
        <v>0.01</v>
      </c>
      <c r="I65" s="3172" t="s">
        <v>2375</v>
      </c>
      <c r="J65" s="3173">
        <v>40</v>
      </c>
      <c r="K65" s="3173">
        <v>30</v>
      </c>
      <c r="L65" s="3173">
        <v>50</v>
      </c>
      <c r="M65" s="3175">
        <v>0.02</v>
      </c>
      <c r="O65" s="2396" t="s">
        <v>2378</v>
      </c>
      <c r="P65" s="2397" t="s">
        <v>2379</v>
      </c>
      <c r="Q65" s="2398" t="s">
        <v>2380</v>
      </c>
      <c r="R65" s="2397" t="s">
        <v>2381</v>
      </c>
    </row>
    <row r="66" spans="1:18" s="2060" customFormat="1" ht="24.75" thickBot="1">
      <c r="A66" s="796" t="s">
        <v>1777</v>
      </c>
      <c r="B66" s="3012" t="s">
        <v>2825</v>
      </c>
      <c r="C66" s="798">
        <f ca="1">C47-C57</f>
        <v>-8</v>
      </c>
      <c r="D66" s="2639" t="s">
        <v>700</v>
      </c>
      <c r="E66" s="2638"/>
      <c r="F66" s="819"/>
      <c r="K66" s="2087"/>
      <c r="O66" s="2399" t="s">
        <v>2382</v>
      </c>
      <c r="P66" s="2400" t="s">
        <v>2412</v>
      </c>
      <c r="Q66" s="2401">
        <f ca="1">C40+J29</f>
        <v>501</v>
      </c>
      <c r="R66" s="2400" t="s">
        <v>2383</v>
      </c>
    </row>
    <row r="67" spans="1:18" s="2060" customFormat="1" ht="20.25" thickBot="1">
      <c r="A67" s="780" t="s">
        <v>1781</v>
      </c>
      <c r="B67" s="2233" t="s">
        <v>2304</v>
      </c>
      <c r="C67" s="782">
        <f ca="1">ROUND(C66*(1-((1+F69)/(1+F67))^F68)/(F67-F69),0)</f>
        <v>-128</v>
      </c>
      <c r="D67" s="813" t="s">
        <v>704</v>
      </c>
      <c r="E67" s="783" t="s">
        <v>705</v>
      </c>
      <c r="F67" s="793">
        <f ca="1">F40</f>
        <v>4.4999999999999998E-2</v>
      </c>
      <c r="K67" s="2087"/>
      <c r="O67" s="2399" t="s">
        <v>2384</v>
      </c>
      <c r="P67" s="2400" t="s">
        <v>2415</v>
      </c>
      <c r="Q67" s="2401">
        <f ca="1">L60</f>
        <v>0</v>
      </c>
      <c r="R67" s="2404" t="s">
        <v>2417</v>
      </c>
    </row>
    <row r="68" spans="1:18" ht="21.75" thickBot="1">
      <c r="A68" s="785"/>
      <c r="B68" s="786"/>
      <c r="C68" s="787"/>
      <c r="D68" s="820" t="s">
        <v>1809</v>
      </c>
      <c r="E68" s="783" t="s">
        <v>1785</v>
      </c>
      <c r="F68" s="821">
        <f ca="1">F41</f>
        <v>28.71</v>
      </c>
      <c r="O68" s="2402" t="s">
        <v>2386</v>
      </c>
      <c r="P68" s="2400" t="s">
        <v>2416</v>
      </c>
      <c r="Q68" s="2406">
        <f ca="1">L51</f>
        <v>-600</v>
      </c>
      <c r="R68" s="2407" t="s">
        <v>2419</v>
      </c>
    </row>
    <row r="69" spans="1:18" ht="20.25" thickBot="1">
      <c r="A69" s="789"/>
      <c r="B69" s="790"/>
      <c r="C69" s="791"/>
      <c r="D69" s="815"/>
      <c r="E69" s="783" t="s">
        <v>710</v>
      </c>
      <c r="F69" s="2372"/>
      <c r="O69" s="2402" t="s">
        <v>2387</v>
      </c>
      <c r="P69" s="2408" t="s">
        <v>2401</v>
      </c>
      <c r="Q69" s="2401">
        <f ca="1">ROUND(Q70-Q71*Q72,0)</f>
        <v>-35</v>
      </c>
      <c r="R69" s="2404"/>
    </row>
    <row r="70" spans="1:18" ht="15.75" thickBot="1">
      <c r="A70" s="822" t="s">
        <v>1788</v>
      </c>
      <c r="B70" s="823" t="s">
        <v>1811</v>
      </c>
      <c r="C70" s="824">
        <f ca="1">ROUND(C67*10000/F70,0)</f>
        <v>-569</v>
      </c>
      <c r="D70" s="825" t="s">
        <v>1812</v>
      </c>
      <c r="E70" s="826" t="s">
        <v>1813</v>
      </c>
      <c r="F70" s="827">
        <f ca="1">F43</f>
        <v>2251</v>
      </c>
      <c r="O70" s="2402" t="s">
        <v>2402</v>
      </c>
      <c r="P70" s="2408" t="s">
        <v>2403</v>
      </c>
      <c r="Q70" s="2401">
        <f ca="1">C39</f>
        <v>25</v>
      </c>
      <c r="R70" s="2400" t="s">
        <v>2383</v>
      </c>
    </row>
    <row r="71" spans="1:18" ht="15.75" thickBot="1">
      <c r="O71" s="2402" t="s">
        <v>2404</v>
      </c>
      <c r="P71" s="2408" t="s">
        <v>2405</v>
      </c>
      <c r="Q71" s="2401">
        <f ca="1">C13</f>
        <v>701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501</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D1" workbookViewId="0">
      <selection activeCell="J98" sqref="J98"/>
    </sheetView>
  </sheetViews>
  <sheetFormatPr defaultRowHeight="12"/>
  <cols>
    <col min="1" max="1" width="43.625" style="3178" customWidth="1"/>
    <col min="2" max="2" width="6.25" style="3178" customWidth="1"/>
    <col min="3" max="5" width="13.875" style="3178" customWidth="1"/>
    <col min="6" max="6" width="8.75" style="3178" customWidth="1"/>
    <col min="7" max="7" width="7.875" style="3178" customWidth="1"/>
    <col min="8" max="8" width="17.75" style="3178" customWidth="1"/>
    <col min="9" max="10" width="10.625" style="3178" customWidth="1"/>
    <col min="11" max="11" width="14.375" style="3178" customWidth="1"/>
    <col min="12" max="12" width="6.25" style="3178" customWidth="1"/>
    <col min="13" max="13" width="54.75" style="3178" customWidth="1"/>
    <col min="14" max="256" width="9" style="3178"/>
    <col min="257" max="257" width="43.625" style="3178" customWidth="1"/>
    <col min="258" max="258" width="6.25" style="3178" customWidth="1"/>
    <col min="259" max="261" width="13.875" style="3178" customWidth="1"/>
    <col min="262" max="262" width="36.25" style="3178" customWidth="1"/>
    <col min="263" max="263" width="7.875" style="3178" customWidth="1"/>
    <col min="264" max="264" width="9" style="3178" customWidth="1"/>
    <col min="265" max="266" width="10.625" style="3178" customWidth="1"/>
    <col min="267" max="267" width="14.375" style="3178" customWidth="1"/>
    <col min="268" max="268" width="6.25" style="3178" customWidth="1"/>
    <col min="269" max="269" width="54.75" style="3178" customWidth="1"/>
    <col min="270" max="512" width="9" style="3178"/>
    <col min="513" max="513" width="43.625" style="3178" customWidth="1"/>
    <col min="514" max="514" width="6.25" style="3178" customWidth="1"/>
    <col min="515" max="517" width="13.875" style="3178" customWidth="1"/>
    <col min="518" max="518" width="36.25" style="3178" customWidth="1"/>
    <col min="519" max="519" width="7.875" style="3178" customWidth="1"/>
    <col min="520" max="520" width="9" style="3178" customWidth="1"/>
    <col min="521" max="522" width="10.625" style="3178" customWidth="1"/>
    <col min="523" max="523" width="14.375" style="3178" customWidth="1"/>
    <col min="524" max="524" width="6.25" style="3178" customWidth="1"/>
    <col min="525" max="525" width="54.75" style="3178" customWidth="1"/>
    <col min="526" max="768" width="9" style="3178"/>
    <col min="769" max="769" width="43.625" style="3178" customWidth="1"/>
    <col min="770" max="770" width="6.25" style="3178" customWidth="1"/>
    <col min="771" max="773" width="13.875" style="3178" customWidth="1"/>
    <col min="774" max="774" width="36.25" style="3178" customWidth="1"/>
    <col min="775" max="775" width="7.875" style="3178" customWidth="1"/>
    <col min="776" max="776" width="9" style="3178" customWidth="1"/>
    <col min="777" max="778" width="10.625" style="3178" customWidth="1"/>
    <col min="779" max="779" width="14.375" style="3178" customWidth="1"/>
    <col min="780" max="780" width="6.25" style="3178" customWidth="1"/>
    <col min="781" max="781" width="54.75" style="3178" customWidth="1"/>
    <col min="782" max="1024" width="9" style="3178"/>
    <col min="1025" max="1025" width="43.625" style="3178" customWidth="1"/>
    <col min="1026" max="1026" width="6.25" style="3178" customWidth="1"/>
    <col min="1027" max="1029" width="13.875" style="3178" customWidth="1"/>
    <col min="1030" max="1030" width="36.25" style="3178" customWidth="1"/>
    <col min="1031" max="1031" width="7.875" style="3178" customWidth="1"/>
    <col min="1032" max="1032" width="9" style="3178" customWidth="1"/>
    <col min="1033" max="1034" width="10.625" style="3178" customWidth="1"/>
    <col min="1035" max="1035" width="14.375" style="3178" customWidth="1"/>
    <col min="1036" max="1036" width="6.25" style="3178" customWidth="1"/>
    <col min="1037" max="1037" width="54.75" style="3178" customWidth="1"/>
    <col min="1038" max="1280" width="9" style="3178"/>
    <col min="1281" max="1281" width="43.625" style="3178" customWidth="1"/>
    <col min="1282" max="1282" width="6.25" style="3178" customWidth="1"/>
    <col min="1283" max="1285" width="13.875" style="3178" customWidth="1"/>
    <col min="1286" max="1286" width="36.25" style="3178" customWidth="1"/>
    <col min="1287" max="1287" width="7.875" style="3178" customWidth="1"/>
    <col min="1288" max="1288" width="9" style="3178" customWidth="1"/>
    <col min="1289" max="1290" width="10.625" style="3178" customWidth="1"/>
    <col min="1291" max="1291" width="14.375" style="3178" customWidth="1"/>
    <col min="1292" max="1292" width="6.25" style="3178" customWidth="1"/>
    <col min="1293" max="1293" width="54.75" style="3178" customWidth="1"/>
    <col min="1294" max="1536" width="9" style="3178"/>
    <col min="1537" max="1537" width="43.625" style="3178" customWidth="1"/>
    <col min="1538" max="1538" width="6.25" style="3178" customWidth="1"/>
    <col min="1539" max="1541" width="13.875" style="3178" customWidth="1"/>
    <col min="1542" max="1542" width="36.25" style="3178" customWidth="1"/>
    <col min="1543" max="1543" width="7.875" style="3178" customWidth="1"/>
    <col min="1544" max="1544" width="9" style="3178" customWidth="1"/>
    <col min="1545" max="1546" width="10.625" style="3178" customWidth="1"/>
    <col min="1547" max="1547" width="14.375" style="3178" customWidth="1"/>
    <col min="1548" max="1548" width="6.25" style="3178" customWidth="1"/>
    <col min="1549" max="1549" width="54.75" style="3178" customWidth="1"/>
    <col min="1550" max="1792" width="9" style="3178"/>
    <col min="1793" max="1793" width="43.625" style="3178" customWidth="1"/>
    <col min="1794" max="1794" width="6.25" style="3178" customWidth="1"/>
    <col min="1795" max="1797" width="13.875" style="3178" customWidth="1"/>
    <col min="1798" max="1798" width="36.25" style="3178" customWidth="1"/>
    <col min="1799" max="1799" width="7.875" style="3178" customWidth="1"/>
    <col min="1800" max="1800" width="9" style="3178" customWidth="1"/>
    <col min="1801" max="1802" width="10.625" style="3178" customWidth="1"/>
    <col min="1803" max="1803" width="14.375" style="3178" customWidth="1"/>
    <col min="1804" max="1804" width="6.25" style="3178" customWidth="1"/>
    <col min="1805" max="1805" width="54.75" style="3178" customWidth="1"/>
    <col min="1806" max="2048" width="9" style="3178"/>
    <col min="2049" max="2049" width="43.625" style="3178" customWidth="1"/>
    <col min="2050" max="2050" width="6.25" style="3178" customWidth="1"/>
    <col min="2051" max="2053" width="13.875" style="3178" customWidth="1"/>
    <col min="2054" max="2054" width="36.25" style="3178" customWidth="1"/>
    <col min="2055" max="2055" width="7.875" style="3178" customWidth="1"/>
    <col min="2056" max="2056" width="9" style="3178" customWidth="1"/>
    <col min="2057" max="2058" width="10.625" style="3178" customWidth="1"/>
    <col min="2059" max="2059" width="14.375" style="3178" customWidth="1"/>
    <col min="2060" max="2060" width="6.25" style="3178" customWidth="1"/>
    <col min="2061" max="2061" width="54.75" style="3178" customWidth="1"/>
    <col min="2062" max="2304" width="9" style="3178"/>
    <col min="2305" max="2305" width="43.625" style="3178" customWidth="1"/>
    <col min="2306" max="2306" width="6.25" style="3178" customWidth="1"/>
    <col min="2307" max="2309" width="13.875" style="3178" customWidth="1"/>
    <col min="2310" max="2310" width="36.25" style="3178" customWidth="1"/>
    <col min="2311" max="2311" width="7.875" style="3178" customWidth="1"/>
    <col min="2312" max="2312" width="9" style="3178" customWidth="1"/>
    <col min="2313" max="2314" width="10.625" style="3178" customWidth="1"/>
    <col min="2315" max="2315" width="14.375" style="3178" customWidth="1"/>
    <col min="2316" max="2316" width="6.25" style="3178" customWidth="1"/>
    <col min="2317" max="2317" width="54.75" style="3178" customWidth="1"/>
    <col min="2318" max="2560" width="9" style="3178"/>
    <col min="2561" max="2561" width="43.625" style="3178" customWidth="1"/>
    <col min="2562" max="2562" width="6.25" style="3178" customWidth="1"/>
    <col min="2563" max="2565" width="13.875" style="3178" customWidth="1"/>
    <col min="2566" max="2566" width="36.25" style="3178" customWidth="1"/>
    <col min="2567" max="2567" width="7.875" style="3178" customWidth="1"/>
    <col min="2568" max="2568" width="9" style="3178" customWidth="1"/>
    <col min="2569" max="2570" width="10.625" style="3178" customWidth="1"/>
    <col min="2571" max="2571" width="14.375" style="3178" customWidth="1"/>
    <col min="2572" max="2572" width="6.25" style="3178" customWidth="1"/>
    <col min="2573" max="2573" width="54.75" style="3178" customWidth="1"/>
    <col min="2574" max="2816" width="9" style="3178"/>
    <col min="2817" max="2817" width="43.625" style="3178" customWidth="1"/>
    <col min="2818" max="2818" width="6.25" style="3178" customWidth="1"/>
    <col min="2819" max="2821" width="13.875" style="3178" customWidth="1"/>
    <col min="2822" max="2822" width="36.25" style="3178" customWidth="1"/>
    <col min="2823" max="2823" width="7.875" style="3178" customWidth="1"/>
    <col min="2824" max="2824" width="9" style="3178" customWidth="1"/>
    <col min="2825" max="2826" width="10.625" style="3178" customWidth="1"/>
    <col min="2827" max="2827" width="14.375" style="3178" customWidth="1"/>
    <col min="2828" max="2828" width="6.25" style="3178" customWidth="1"/>
    <col min="2829" max="2829" width="54.75" style="3178" customWidth="1"/>
    <col min="2830" max="3072" width="9" style="3178"/>
    <col min="3073" max="3073" width="43.625" style="3178" customWidth="1"/>
    <col min="3074" max="3074" width="6.25" style="3178" customWidth="1"/>
    <col min="3075" max="3077" width="13.875" style="3178" customWidth="1"/>
    <col min="3078" max="3078" width="36.25" style="3178" customWidth="1"/>
    <col min="3079" max="3079" width="7.875" style="3178" customWidth="1"/>
    <col min="3080" max="3080" width="9" style="3178" customWidth="1"/>
    <col min="3081" max="3082" width="10.625" style="3178" customWidth="1"/>
    <col min="3083" max="3083" width="14.375" style="3178" customWidth="1"/>
    <col min="3084" max="3084" width="6.25" style="3178" customWidth="1"/>
    <col min="3085" max="3085" width="54.75" style="3178" customWidth="1"/>
    <col min="3086" max="3328" width="9" style="3178"/>
    <col min="3329" max="3329" width="43.625" style="3178" customWidth="1"/>
    <col min="3330" max="3330" width="6.25" style="3178" customWidth="1"/>
    <col min="3331" max="3333" width="13.875" style="3178" customWidth="1"/>
    <col min="3334" max="3334" width="36.25" style="3178" customWidth="1"/>
    <col min="3335" max="3335" width="7.875" style="3178" customWidth="1"/>
    <col min="3336" max="3336" width="9" style="3178" customWidth="1"/>
    <col min="3337" max="3338" width="10.625" style="3178" customWidth="1"/>
    <col min="3339" max="3339" width="14.375" style="3178" customWidth="1"/>
    <col min="3340" max="3340" width="6.25" style="3178" customWidth="1"/>
    <col min="3341" max="3341" width="54.75" style="3178" customWidth="1"/>
    <col min="3342" max="3584" width="9" style="3178"/>
    <col min="3585" max="3585" width="43.625" style="3178" customWidth="1"/>
    <col min="3586" max="3586" width="6.25" style="3178" customWidth="1"/>
    <col min="3587" max="3589" width="13.875" style="3178" customWidth="1"/>
    <col min="3590" max="3590" width="36.25" style="3178" customWidth="1"/>
    <col min="3591" max="3591" width="7.875" style="3178" customWidth="1"/>
    <col min="3592" max="3592" width="9" style="3178" customWidth="1"/>
    <col min="3593" max="3594" width="10.625" style="3178" customWidth="1"/>
    <col min="3595" max="3595" width="14.375" style="3178" customWidth="1"/>
    <col min="3596" max="3596" width="6.25" style="3178" customWidth="1"/>
    <col min="3597" max="3597" width="54.75" style="3178" customWidth="1"/>
    <col min="3598" max="3840" width="9" style="3178"/>
    <col min="3841" max="3841" width="43.625" style="3178" customWidth="1"/>
    <col min="3842" max="3842" width="6.25" style="3178" customWidth="1"/>
    <col min="3843" max="3845" width="13.875" style="3178" customWidth="1"/>
    <col min="3846" max="3846" width="36.25" style="3178" customWidth="1"/>
    <col min="3847" max="3847" width="7.875" style="3178" customWidth="1"/>
    <col min="3848" max="3848" width="9" style="3178" customWidth="1"/>
    <col min="3849" max="3850" width="10.625" style="3178" customWidth="1"/>
    <col min="3851" max="3851" width="14.375" style="3178" customWidth="1"/>
    <col min="3852" max="3852" width="6.25" style="3178" customWidth="1"/>
    <col min="3853" max="3853" width="54.75" style="3178" customWidth="1"/>
    <col min="3854" max="4096" width="9" style="3178"/>
    <col min="4097" max="4097" width="43.625" style="3178" customWidth="1"/>
    <col min="4098" max="4098" width="6.25" style="3178" customWidth="1"/>
    <col min="4099" max="4101" width="13.875" style="3178" customWidth="1"/>
    <col min="4102" max="4102" width="36.25" style="3178" customWidth="1"/>
    <col min="4103" max="4103" width="7.875" style="3178" customWidth="1"/>
    <col min="4104" max="4104" width="9" style="3178" customWidth="1"/>
    <col min="4105" max="4106" width="10.625" style="3178" customWidth="1"/>
    <col min="4107" max="4107" width="14.375" style="3178" customWidth="1"/>
    <col min="4108" max="4108" width="6.25" style="3178" customWidth="1"/>
    <col min="4109" max="4109" width="54.75" style="3178" customWidth="1"/>
    <col min="4110" max="4352" width="9" style="3178"/>
    <col min="4353" max="4353" width="43.625" style="3178" customWidth="1"/>
    <col min="4354" max="4354" width="6.25" style="3178" customWidth="1"/>
    <col min="4355" max="4357" width="13.875" style="3178" customWidth="1"/>
    <col min="4358" max="4358" width="36.25" style="3178" customWidth="1"/>
    <col min="4359" max="4359" width="7.875" style="3178" customWidth="1"/>
    <col min="4360" max="4360" width="9" style="3178" customWidth="1"/>
    <col min="4361" max="4362" width="10.625" style="3178" customWidth="1"/>
    <col min="4363" max="4363" width="14.375" style="3178" customWidth="1"/>
    <col min="4364" max="4364" width="6.25" style="3178" customWidth="1"/>
    <col min="4365" max="4365" width="54.75" style="3178" customWidth="1"/>
    <col min="4366" max="4608" width="9" style="3178"/>
    <col min="4609" max="4609" width="43.625" style="3178" customWidth="1"/>
    <col min="4610" max="4610" width="6.25" style="3178" customWidth="1"/>
    <col min="4611" max="4613" width="13.875" style="3178" customWidth="1"/>
    <col min="4614" max="4614" width="36.25" style="3178" customWidth="1"/>
    <col min="4615" max="4615" width="7.875" style="3178" customWidth="1"/>
    <col min="4616" max="4616" width="9" style="3178" customWidth="1"/>
    <col min="4617" max="4618" width="10.625" style="3178" customWidth="1"/>
    <col min="4619" max="4619" width="14.375" style="3178" customWidth="1"/>
    <col min="4620" max="4620" width="6.25" style="3178" customWidth="1"/>
    <col min="4621" max="4621" width="54.75" style="3178" customWidth="1"/>
    <col min="4622" max="4864" width="9" style="3178"/>
    <col min="4865" max="4865" width="43.625" style="3178" customWidth="1"/>
    <col min="4866" max="4866" width="6.25" style="3178" customWidth="1"/>
    <col min="4867" max="4869" width="13.875" style="3178" customWidth="1"/>
    <col min="4870" max="4870" width="36.25" style="3178" customWidth="1"/>
    <col min="4871" max="4871" width="7.875" style="3178" customWidth="1"/>
    <col min="4872" max="4872" width="9" style="3178" customWidth="1"/>
    <col min="4873" max="4874" width="10.625" style="3178" customWidth="1"/>
    <col min="4875" max="4875" width="14.375" style="3178" customWidth="1"/>
    <col min="4876" max="4876" width="6.25" style="3178" customWidth="1"/>
    <col min="4877" max="4877" width="54.75" style="3178" customWidth="1"/>
    <col min="4878" max="5120" width="9" style="3178"/>
    <col min="5121" max="5121" width="43.625" style="3178" customWidth="1"/>
    <col min="5122" max="5122" width="6.25" style="3178" customWidth="1"/>
    <col min="5123" max="5125" width="13.875" style="3178" customWidth="1"/>
    <col min="5126" max="5126" width="36.25" style="3178" customWidth="1"/>
    <col min="5127" max="5127" width="7.875" style="3178" customWidth="1"/>
    <col min="5128" max="5128" width="9" style="3178" customWidth="1"/>
    <col min="5129" max="5130" width="10.625" style="3178" customWidth="1"/>
    <col min="5131" max="5131" width="14.375" style="3178" customWidth="1"/>
    <col min="5132" max="5132" width="6.25" style="3178" customWidth="1"/>
    <col min="5133" max="5133" width="54.75" style="3178" customWidth="1"/>
    <col min="5134" max="5376" width="9" style="3178"/>
    <col min="5377" max="5377" width="43.625" style="3178" customWidth="1"/>
    <col min="5378" max="5378" width="6.25" style="3178" customWidth="1"/>
    <col min="5379" max="5381" width="13.875" style="3178" customWidth="1"/>
    <col min="5382" max="5382" width="36.25" style="3178" customWidth="1"/>
    <col min="5383" max="5383" width="7.875" style="3178" customWidth="1"/>
    <col min="5384" max="5384" width="9" style="3178" customWidth="1"/>
    <col min="5385" max="5386" width="10.625" style="3178" customWidth="1"/>
    <col min="5387" max="5387" width="14.375" style="3178" customWidth="1"/>
    <col min="5388" max="5388" width="6.25" style="3178" customWidth="1"/>
    <col min="5389" max="5389" width="54.75" style="3178" customWidth="1"/>
    <col min="5390" max="5632" width="9" style="3178"/>
    <col min="5633" max="5633" width="43.625" style="3178" customWidth="1"/>
    <col min="5634" max="5634" width="6.25" style="3178" customWidth="1"/>
    <col min="5635" max="5637" width="13.875" style="3178" customWidth="1"/>
    <col min="5638" max="5638" width="36.25" style="3178" customWidth="1"/>
    <col min="5639" max="5639" width="7.875" style="3178" customWidth="1"/>
    <col min="5640" max="5640" width="9" style="3178" customWidth="1"/>
    <col min="5641" max="5642" width="10.625" style="3178" customWidth="1"/>
    <col min="5643" max="5643" width="14.375" style="3178" customWidth="1"/>
    <col min="5644" max="5644" width="6.25" style="3178" customWidth="1"/>
    <col min="5645" max="5645" width="54.75" style="3178" customWidth="1"/>
    <col min="5646" max="5888" width="9" style="3178"/>
    <col min="5889" max="5889" width="43.625" style="3178" customWidth="1"/>
    <col min="5890" max="5890" width="6.25" style="3178" customWidth="1"/>
    <col min="5891" max="5893" width="13.875" style="3178" customWidth="1"/>
    <col min="5894" max="5894" width="36.25" style="3178" customWidth="1"/>
    <col min="5895" max="5895" width="7.875" style="3178" customWidth="1"/>
    <col min="5896" max="5896" width="9" style="3178" customWidth="1"/>
    <col min="5897" max="5898" width="10.625" style="3178" customWidth="1"/>
    <col min="5899" max="5899" width="14.375" style="3178" customWidth="1"/>
    <col min="5900" max="5900" width="6.25" style="3178" customWidth="1"/>
    <col min="5901" max="5901" width="54.75" style="3178" customWidth="1"/>
    <col min="5902" max="6144" width="9" style="3178"/>
    <col min="6145" max="6145" width="43.625" style="3178" customWidth="1"/>
    <col min="6146" max="6146" width="6.25" style="3178" customWidth="1"/>
    <col min="6147" max="6149" width="13.875" style="3178" customWidth="1"/>
    <col min="6150" max="6150" width="36.25" style="3178" customWidth="1"/>
    <col min="6151" max="6151" width="7.875" style="3178" customWidth="1"/>
    <col min="6152" max="6152" width="9" style="3178" customWidth="1"/>
    <col min="6153" max="6154" width="10.625" style="3178" customWidth="1"/>
    <col min="6155" max="6155" width="14.375" style="3178" customWidth="1"/>
    <col min="6156" max="6156" width="6.25" style="3178" customWidth="1"/>
    <col min="6157" max="6157" width="54.75" style="3178" customWidth="1"/>
    <col min="6158" max="6400" width="9" style="3178"/>
    <col min="6401" max="6401" width="43.625" style="3178" customWidth="1"/>
    <col min="6402" max="6402" width="6.25" style="3178" customWidth="1"/>
    <col min="6403" max="6405" width="13.875" style="3178" customWidth="1"/>
    <col min="6406" max="6406" width="36.25" style="3178" customWidth="1"/>
    <col min="6407" max="6407" width="7.875" style="3178" customWidth="1"/>
    <col min="6408" max="6408" width="9" style="3178" customWidth="1"/>
    <col min="6409" max="6410" width="10.625" style="3178" customWidth="1"/>
    <col min="6411" max="6411" width="14.375" style="3178" customWidth="1"/>
    <col min="6412" max="6412" width="6.25" style="3178" customWidth="1"/>
    <col min="6413" max="6413" width="54.75" style="3178" customWidth="1"/>
    <col min="6414" max="6656" width="9" style="3178"/>
    <col min="6657" max="6657" width="43.625" style="3178" customWidth="1"/>
    <col min="6658" max="6658" width="6.25" style="3178" customWidth="1"/>
    <col min="6659" max="6661" width="13.875" style="3178" customWidth="1"/>
    <col min="6662" max="6662" width="36.25" style="3178" customWidth="1"/>
    <col min="6663" max="6663" width="7.875" style="3178" customWidth="1"/>
    <col min="6664" max="6664" width="9" style="3178" customWidth="1"/>
    <col min="6665" max="6666" width="10.625" style="3178" customWidth="1"/>
    <col min="6667" max="6667" width="14.375" style="3178" customWidth="1"/>
    <col min="6668" max="6668" width="6.25" style="3178" customWidth="1"/>
    <col min="6669" max="6669" width="54.75" style="3178" customWidth="1"/>
    <col min="6670" max="6912" width="9" style="3178"/>
    <col min="6913" max="6913" width="43.625" style="3178" customWidth="1"/>
    <col min="6914" max="6914" width="6.25" style="3178" customWidth="1"/>
    <col min="6915" max="6917" width="13.875" style="3178" customWidth="1"/>
    <col min="6918" max="6918" width="36.25" style="3178" customWidth="1"/>
    <col min="6919" max="6919" width="7.875" style="3178" customWidth="1"/>
    <col min="6920" max="6920" width="9" style="3178" customWidth="1"/>
    <col min="6921" max="6922" width="10.625" style="3178" customWidth="1"/>
    <col min="6923" max="6923" width="14.375" style="3178" customWidth="1"/>
    <col min="6924" max="6924" width="6.25" style="3178" customWidth="1"/>
    <col min="6925" max="6925" width="54.75" style="3178" customWidth="1"/>
    <col min="6926" max="7168" width="9" style="3178"/>
    <col min="7169" max="7169" width="43.625" style="3178" customWidth="1"/>
    <col min="7170" max="7170" width="6.25" style="3178" customWidth="1"/>
    <col min="7171" max="7173" width="13.875" style="3178" customWidth="1"/>
    <col min="7174" max="7174" width="36.25" style="3178" customWidth="1"/>
    <col min="7175" max="7175" width="7.875" style="3178" customWidth="1"/>
    <col min="7176" max="7176" width="9" style="3178" customWidth="1"/>
    <col min="7177" max="7178" width="10.625" style="3178" customWidth="1"/>
    <col min="7179" max="7179" width="14.375" style="3178" customWidth="1"/>
    <col min="7180" max="7180" width="6.25" style="3178" customWidth="1"/>
    <col min="7181" max="7181" width="54.75" style="3178" customWidth="1"/>
    <col min="7182" max="7424" width="9" style="3178"/>
    <col min="7425" max="7425" width="43.625" style="3178" customWidth="1"/>
    <col min="7426" max="7426" width="6.25" style="3178" customWidth="1"/>
    <col min="7427" max="7429" width="13.875" style="3178" customWidth="1"/>
    <col min="7430" max="7430" width="36.25" style="3178" customWidth="1"/>
    <col min="7431" max="7431" width="7.875" style="3178" customWidth="1"/>
    <col min="7432" max="7432" width="9" style="3178" customWidth="1"/>
    <col min="7433" max="7434" width="10.625" style="3178" customWidth="1"/>
    <col min="7435" max="7435" width="14.375" style="3178" customWidth="1"/>
    <col min="7436" max="7436" width="6.25" style="3178" customWidth="1"/>
    <col min="7437" max="7437" width="54.75" style="3178" customWidth="1"/>
    <col min="7438" max="7680" width="9" style="3178"/>
    <col min="7681" max="7681" width="43.625" style="3178" customWidth="1"/>
    <col min="7682" max="7682" width="6.25" style="3178" customWidth="1"/>
    <col min="7683" max="7685" width="13.875" style="3178" customWidth="1"/>
    <col min="7686" max="7686" width="36.25" style="3178" customWidth="1"/>
    <col min="7687" max="7687" width="7.875" style="3178" customWidth="1"/>
    <col min="7688" max="7688" width="9" style="3178" customWidth="1"/>
    <col min="7689" max="7690" width="10.625" style="3178" customWidth="1"/>
    <col min="7691" max="7691" width="14.375" style="3178" customWidth="1"/>
    <col min="7692" max="7692" width="6.25" style="3178" customWidth="1"/>
    <col min="7693" max="7693" width="54.75" style="3178" customWidth="1"/>
    <col min="7694" max="7936" width="9" style="3178"/>
    <col min="7937" max="7937" width="43.625" style="3178" customWidth="1"/>
    <col min="7938" max="7938" width="6.25" style="3178" customWidth="1"/>
    <col min="7939" max="7941" width="13.875" style="3178" customWidth="1"/>
    <col min="7942" max="7942" width="36.25" style="3178" customWidth="1"/>
    <col min="7943" max="7943" width="7.875" style="3178" customWidth="1"/>
    <col min="7944" max="7944" width="9" style="3178" customWidth="1"/>
    <col min="7945" max="7946" width="10.625" style="3178" customWidth="1"/>
    <col min="7947" max="7947" width="14.375" style="3178" customWidth="1"/>
    <col min="7948" max="7948" width="6.25" style="3178" customWidth="1"/>
    <col min="7949" max="7949" width="54.75" style="3178" customWidth="1"/>
    <col min="7950" max="8192" width="9" style="3178"/>
    <col min="8193" max="8193" width="43.625" style="3178" customWidth="1"/>
    <col min="8194" max="8194" width="6.25" style="3178" customWidth="1"/>
    <col min="8195" max="8197" width="13.875" style="3178" customWidth="1"/>
    <col min="8198" max="8198" width="36.25" style="3178" customWidth="1"/>
    <col min="8199" max="8199" width="7.875" style="3178" customWidth="1"/>
    <col min="8200" max="8200" width="9" style="3178" customWidth="1"/>
    <col min="8201" max="8202" width="10.625" style="3178" customWidth="1"/>
    <col min="8203" max="8203" width="14.375" style="3178" customWidth="1"/>
    <col min="8204" max="8204" width="6.25" style="3178" customWidth="1"/>
    <col min="8205" max="8205" width="54.75" style="3178" customWidth="1"/>
    <col min="8206" max="8448" width="9" style="3178"/>
    <col min="8449" max="8449" width="43.625" style="3178" customWidth="1"/>
    <col min="8450" max="8450" width="6.25" style="3178" customWidth="1"/>
    <col min="8451" max="8453" width="13.875" style="3178" customWidth="1"/>
    <col min="8454" max="8454" width="36.25" style="3178" customWidth="1"/>
    <col min="8455" max="8455" width="7.875" style="3178" customWidth="1"/>
    <col min="8456" max="8456" width="9" style="3178" customWidth="1"/>
    <col min="8457" max="8458" width="10.625" style="3178" customWidth="1"/>
    <col min="8459" max="8459" width="14.375" style="3178" customWidth="1"/>
    <col min="8460" max="8460" width="6.25" style="3178" customWidth="1"/>
    <col min="8461" max="8461" width="54.75" style="3178" customWidth="1"/>
    <col min="8462" max="8704" width="9" style="3178"/>
    <col min="8705" max="8705" width="43.625" style="3178" customWidth="1"/>
    <col min="8706" max="8706" width="6.25" style="3178" customWidth="1"/>
    <col min="8707" max="8709" width="13.875" style="3178" customWidth="1"/>
    <col min="8710" max="8710" width="36.25" style="3178" customWidth="1"/>
    <col min="8711" max="8711" width="7.875" style="3178" customWidth="1"/>
    <col min="8712" max="8712" width="9" style="3178" customWidth="1"/>
    <col min="8713" max="8714" width="10.625" style="3178" customWidth="1"/>
    <col min="8715" max="8715" width="14.375" style="3178" customWidth="1"/>
    <col min="8716" max="8716" width="6.25" style="3178" customWidth="1"/>
    <col min="8717" max="8717" width="54.75" style="3178" customWidth="1"/>
    <col min="8718" max="8960" width="9" style="3178"/>
    <col min="8961" max="8961" width="43.625" style="3178" customWidth="1"/>
    <col min="8962" max="8962" width="6.25" style="3178" customWidth="1"/>
    <col min="8963" max="8965" width="13.875" style="3178" customWidth="1"/>
    <col min="8966" max="8966" width="36.25" style="3178" customWidth="1"/>
    <col min="8967" max="8967" width="7.875" style="3178" customWidth="1"/>
    <col min="8968" max="8968" width="9" style="3178" customWidth="1"/>
    <col min="8969" max="8970" width="10.625" style="3178" customWidth="1"/>
    <col min="8971" max="8971" width="14.375" style="3178" customWidth="1"/>
    <col min="8972" max="8972" width="6.25" style="3178" customWidth="1"/>
    <col min="8973" max="8973" width="54.75" style="3178" customWidth="1"/>
    <col min="8974" max="9216" width="9" style="3178"/>
    <col min="9217" max="9217" width="43.625" style="3178" customWidth="1"/>
    <col min="9218" max="9218" width="6.25" style="3178" customWidth="1"/>
    <col min="9219" max="9221" width="13.875" style="3178" customWidth="1"/>
    <col min="9222" max="9222" width="36.25" style="3178" customWidth="1"/>
    <col min="9223" max="9223" width="7.875" style="3178" customWidth="1"/>
    <col min="9224" max="9224" width="9" style="3178" customWidth="1"/>
    <col min="9225" max="9226" width="10.625" style="3178" customWidth="1"/>
    <col min="9227" max="9227" width="14.375" style="3178" customWidth="1"/>
    <col min="9228" max="9228" width="6.25" style="3178" customWidth="1"/>
    <col min="9229" max="9229" width="54.75" style="3178" customWidth="1"/>
    <col min="9230" max="9472" width="9" style="3178"/>
    <col min="9473" max="9473" width="43.625" style="3178" customWidth="1"/>
    <col min="9474" max="9474" width="6.25" style="3178" customWidth="1"/>
    <col min="9475" max="9477" width="13.875" style="3178" customWidth="1"/>
    <col min="9478" max="9478" width="36.25" style="3178" customWidth="1"/>
    <col min="9479" max="9479" width="7.875" style="3178" customWidth="1"/>
    <col min="9480" max="9480" width="9" style="3178" customWidth="1"/>
    <col min="9481" max="9482" width="10.625" style="3178" customWidth="1"/>
    <col min="9483" max="9483" width="14.375" style="3178" customWidth="1"/>
    <col min="9484" max="9484" width="6.25" style="3178" customWidth="1"/>
    <col min="9485" max="9485" width="54.75" style="3178" customWidth="1"/>
    <col min="9486" max="9728" width="9" style="3178"/>
    <col min="9729" max="9729" width="43.625" style="3178" customWidth="1"/>
    <col min="9730" max="9730" width="6.25" style="3178" customWidth="1"/>
    <col min="9731" max="9733" width="13.875" style="3178" customWidth="1"/>
    <col min="9734" max="9734" width="36.25" style="3178" customWidth="1"/>
    <col min="9735" max="9735" width="7.875" style="3178" customWidth="1"/>
    <col min="9736" max="9736" width="9" style="3178" customWidth="1"/>
    <col min="9737" max="9738" width="10.625" style="3178" customWidth="1"/>
    <col min="9739" max="9739" width="14.375" style="3178" customWidth="1"/>
    <col min="9740" max="9740" width="6.25" style="3178" customWidth="1"/>
    <col min="9741" max="9741" width="54.75" style="3178" customWidth="1"/>
    <col min="9742" max="9984" width="9" style="3178"/>
    <col min="9985" max="9985" width="43.625" style="3178" customWidth="1"/>
    <col min="9986" max="9986" width="6.25" style="3178" customWidth="1"/>
    <col min="9987" max="9989" width="13.875" style="3178" customWidth="1"/>
    <col min="9990" max="9990" width="36.25" style="3178" customWidth="1"/>
    <col min="9991" max="9991" width="7.875" style="3178" customWidth="1"/>
    <col min="9992" max="9992" width="9" style="3178" customWidth="1"/>
    <col min="9993" max="9994" width="10.625" style="3178" customWidth="1"/>
    <col min="9995" max="9995" width="14.375" style="3178" customWidth="1"/>
    <col min="9996" max="9996" width="6.25" style="3178" customWidth="1"/>
    <col min="9997" max="9997" width="54.75" style="3178" customWidth="1"/>
    <col min="9998" max="10240" width="9" style="3178"/>
    <col min="10241" max="10241" width="43.625" style="3178" customWidth="1"/>
    <col min="10242" max="10242" width="6.25" style="3178" customWidth="1"/>
    <col min="10243" max="10245" width="13.875" style="3178" customWidth="1"/>
    <col min="10246" max="10246" width="36.25" style="3178" customWidth="1"/>
    <col min="10247" max="10247" width="7.875" style="3178" customWidth="1"/>
    <col min="10248" max="10248" width="9" style="3178" customWidth="1"/>
    <col min="10249" max="10250" width="10.625" style="3178" customWidth="1"/>
    <col min="10251" max="10251" width="14.375" style="3178" customWidth="1"/>
    <col min="10252" max="10252" width="6.25" style="3178" customWidth="1"/>
    <col min="10253" max="10253" width="54.75" style="3178" customWidth="1"/>
    <col min="10254" max="10496" width="9" style="3178"/>
    <col min="10497" max="10497" width="43.625" style="3178" customWidth="1"/>
    <col min="10498" max="10498" width="6.25" style="3178" customWidth="1"/>
    <col min="10499" max="10501" width="13.875" style="3178" customWidth="1"/>
    <col min="10502" max="10502" width="36.25" style="3178" customWidth="1"/>
    <col min="10503" max="10503" width="7.875" style="3178" customWidth="1"/>
    <col min="10504" max="10504" width="9" style="3178" customWidth="1"/>
    <col min="10505" max="10506" width="10.625" style="3178" customWidth="1"/>
    <col min="10507" max="10507" width="14.375" style="3178" customWidth="1"/>
    <col min="10508" max="10508" width="6.25" style="3178" customWidth="1"/>
    <col min="10509" max="10509" width="54.75" style="3178" customWidth="1"/>
    <col min="10510" max="10752" width="9" style="3178"/>
    <col min="10753" max="10753" width="43.625" style="3178" customWidth="1"/>
    <col min="10754" max="10754" width="6.25" style="3178" customWidth="1"/>
    <col min="10755" max="10757" width="13.875" style="3178" customWidth="1"/>
    <col min="10758" max="10758" width="36.25" style="3178" customWidth="1"/>
    <col min="10759" max="10759" width="7.875" style="3178" customWidth="1"/>
    <col min="10760" max="10760" width="9" style="3178" customWidth="1"/>
    <col min="10761" max="10762" width="10.625" style="3178" customWidth="1"/>
    <col min="10763" max="10763" width="14.375" style="3178" customWidth="1"/>
    <col min="10764" max="10764" width="6.25" style="3178" customWidth="1"/>
    <col min="10765" max="10765" width="54.75" style="3178" customWidth="1"/>
    <col min="10766" max="11008" width="9" style="3178"/>
    <col min="11009" max="11009" width="43.625" style="3178" customWidth="1"/>
    <col min="11010" max="11010" width="6.25" style="3178" customWidth="1"/>
    <col min="11011" max="11013" width="13.875" style="3178" customWidth="1"/>
    <col min="11014" max="11014" width="36.25" style="3178" customWidth="1"/>
    <col min="11015" max="11015" width="7.875" style="3178" customWidth="1"/>
    <col min="11016" max="11016" width="9" style="3178" customWidth="1"/>
    <col min="11017" max="11018" width="10.625" style="3178" customWidth="1"/>
    <col min="11019" max="11019" width="14.375" style="3178" customWidth="1"/>
    <col min="11020" max="11020" width="6.25" style="3178" customWidth="1"/>
    <col min="11021" max="11021" width="54.75" style="3178" customWidth="1"/>
    <col min="11022" max="11264" width="9" style="3178"/>
    <col min="11265" max="11265" width="43.625" style="3178" customWidth="1"/>
    <col min="11266" max="11266" width="6.25" style="3178" customWidth="1"/>
    <col min="11267" max="11269" width="13.875" style="3178" customWidth="1"/>
    <col min="11270" max="11270" width="36.25" style="3178" customWidth="1"/>
    <col min="11271" max="11271" width="7.875" style="3178" customWidth="1"/>
    <col min="11272" max="11272" width="9" style="3178" customWidth="1"/>
    <col min="11273" max="11274" width="10.625" style="3178" customWidth="1"/>
    <col min="11275" max="11275" width="14.375" style="3178" customWidth="1"/>
    <col min="11276" max="11276" width="6.25" style="3178" customWidth="1"/>
    <col min="11277" max="11277" width="54.75" style="3178" customWidth="1"/>
    <col min="11278" max="11520" width="9" style="3178"/>
    <col min="11521" max="11521" width="43.625" style="3178" customWidth="1"/>
    <col min="11522" max="11522" width="6.25" style="3178" customWidth="1"/>
    <col min="11523" max="11525" width="13.875" style="3178" customWidth="1"/>
    <col min="11526" max="11526" width="36.25" style="3178" customWidth="1"/>
    <col min="11527" max="11527" width="7.875" style="3178" customWidth="1"/>
    <col min="11528" max="11528" width="9" style="3178" customWidth="1"/>
    <col min="11529" max="11530" width="10.625" style="3178" customWidth="1"/>
    <col min="11531" max="11531" width="14.375" style="3178" customWidth="1"/>
    <col min="11532" max="11532" width="6.25" style="3178" customWidth="1"/>
    <col min="11533" max="11533" width="54.75" style="3178" customWidth="1"/>
    <col min="11534" max="11776" width="9" style="3178"/>
    <col min="11777" max="11777" width="43.625" style="3178" customWidth="1"/>
    <col min="11778" max="11778" width="6.25" style="3178" customWidth="1"/>
    <col min="11779" max="11781" width="13.875" style="3178" customWidth="1"/>
    <col min="11782" max="11782" width="36.25" style="3178" customWidth="1"/>
    <col min="11783" max="11783" width="7.875" style="3178" customWidth="1"/>
    <col min="11784" max="11784" width="9" style="3178" customWidth="1"/>
    <col min="11785" max="11786" width="10.625" style="3178" customWidth="1"/>
    <col min="11787" max="11787" width="14.375" style="3178" customWidth="1"/>
    <col min="11788" max="11788" width="6.25" style="3178" customWidth="1"/>
    <col min="11789" max="11789" width="54.75" style="3178" customWidth="1"/>
    <col min="11790" max="12032" width="9" style="3178"/>
    <col min="12033" max="12033" width="43.625" style="3178" customWidth="1"/>
    <col min="12034" max="12034" width="6.25" style="3178" customWidth="1"/>
    <col min="12035" max="12037" width="13.875" style="3178" customWidth="1"/>
    <col min="12038" max="12038" width="36.25" style="3178" customWidth="1"/>
    <col min="12039" max="12039" width="7.875" style="3178" customWidth="1"/>
    <col min="12040" max="12040" width="9" style="3178" customWidth="1"/>
    <col min="12041" max="12042" width="10.625" style="3178" customWidth="1"/>
    <col min="12043" max="12043" width="14.375" style="3178" customWidth="1"/>
    <col min="12044" max="12044" width="6.25" style="3178" customWidth="1"/>
    <col min="12045" max="12045" width="54.75" style="3178" customWidth="1"/>
    <col min="12046" max="12288" width="9" style="3178"/>
    <col min="12289" max="12289" width="43.625" style="3178" customWidth="1"/>
    <col min="12290" max="12290" width="6.25" style="3178" customWidth="1"/>
    <col min="12291" max="12293" width="13.875" style="3178" customWidth="1"/>
    <col min="12294" max="12294" width="36.25" style="3178" customWidth="1"/>
    <col min="12295" max="12295" width="7.875" style="3178" customWidth="1"/>
    <col min="12296" max="12296" width="9" style="3178" customWidth="1"/>
    <col min="12297" max="12298" width="10.625" style="3178" customWidth="1"/>
    <col min="12299" max="12299" width="14.375" style="3178" customWidth="1"/>
    <col min="12300" max="12300" width="6.25" style="3178" customWidth="1"/>
    <col min="12301" max="12301" width="54.75" style="3178" customWidth="1"/>
    <col min="12302" max="12544" width="9" style="3178"/>
    <col min="12545" max="12545" width="43.625" style="3178" customWidth="1"/>
    <col min="12546" max="12546" width="6.25" style="3178" customWidth="1"/>
    <col min="12547" max="12549" width="13.875" style="3178" customWidth="1"/>
    <col min="12550" max="12550" width="36.25" style="3178" customWidth="1"/>
    <col min="12551" max="12551" width="7.875" style="3178" customWidth="1"/>
    <col min="12552" max="12552" width="9" style="3178" customWidth="1"/>
    <col min="12553" max="12554" width="10.625" style="3178" customWidth="1"/>
    <col min="12555" max="12555" width="14.375" style="3178" customWidth="1"/>
    <col min="12556" max="12556" width="6.25" style="3178" customWidth="1"/>
    <col min="12557" max="12557" width="54.75" style="3178" customWidth="1"/>
    <col min="12558" max="12800" width="9" style="3178"/>
    <col min="12801" max="12801" width="43.625" style="3178" customWidth="1"/>
    <col min="12802" max="12802" width="6.25" style="3178" customWidth="1"/>
    <col min="12803" max="12805" width="13.875" style="3178" customWidth="1"/>
    <col min="12806" max="12806" width="36.25" style="3178" customWidth="1"/>
    <col min="12807" max="12807" width="7.875" style="3178" customWidth="1"/>
    <col min="12808" max="12808" width="9" style="3178" customWidth="1"/>
    <col min="12809" max="12810" width="10.625" style="3178" customWidth="1"/>
    <col min="12811" max="12811" width="14.375" style="3178" customWidth="1"/>
    <col min="12812" max="12812" width="6.25" style="3178" customWidth="1"/>
    <col min="12813" max="12813" width="54.75" style="3178" customWidth="1"/>
    <col min="12814" max="13056" width="9" style="3178"/>
    <col min="13057" max="13057" width="43.625" style="3178" customWidth="1"/>
    <col min="13058" max="13058" width="6.25" style="3178" customWidth="1"/>
    <col min="13059" max="13061" width="13.875" style="3178" customWidth="1"/>
    <col min="13062" max="13062" width="36.25" style="3178" customWidth="1"/>
    <col min="13063" max="13063" width="7.875" style="3178" customWidth="1"/>
    <col min="13064" max="13064" width="9" style="3178" customWidth="1"/>
    <col min="13065" max="13066" width="10.625" style="3178" customWidth="1"/>
    <col min="13067" max="13067" width="14.375" style="3178" customWidth="1"/>
    <col min="13068" max="13068" width="6.25" style="3178" customWidth="1"/>
    <col min="13069" max="13069" width="54.75" style="3178" customWidth="1"/>
    <col min="13070" max="13312" width="9" style="3178"/>
    <col min="13313" max="13313" width="43.625" style="3178" customWidth="1"/>
    <col min="13314" max="13314" width="6.25" style="3178" customWidth="1"/>
    <col min="13315" max="13317" width="13.875" style="3178" customWidth="1"/>
    <col min="13318" max="13318" width="36.25" style="3178" customWidth="1"/>
    <col min="13319" max="13319" width="7.875" style="3178" customWidth="1"/>
    <col min="13320" max="13320" width="9" style="3178" customWidth="1"/>
    <col min="13321" max="13322" width="10.625" style="3178" customWidth="1"/>
    <col min="13323" max="13323" width="14.375" style="3178" customWidth="1"/>
    <col min="13324" max="13324" width="6.25" style="3178" customWidth="1"/>
    <col min="13325" max="13325" width="54.75" style="3178" customWidth="1"/>
    <col min="13326" max="13568" width="9" style="3178"/>
    <col min="13569" max="13569" width="43.625" style="3178" customWidth="1"/>
    <col min="13570" max="13570" width="6.25" style="3178" customWidth="1"/>
    <col min="13571" max="13573" width="13.875" style="3178" customWidth="1"/>
    <col min="13574" max="13574" width="36.25" style="3178" customWidth="1"/>
    <col min="13575" max="13575" width="7.875" style="3178" customWidth="1"/>
    <col min="13576" max="13576" width="9" style="3178" customWidth="1"/>
    <col min="13577" max="13578" width="10.625" style="3178" customWidth="1"/>
    <col min="13579" max="13579" width="14.375" style="3178" customWidth="1"/>
    <col min="13580" max="13580" width="6.25" style="3178" customWidth="1"/>
    <col min="13581" max="13581" width="54.75" style="3178" customWidth="1"/>
    <col min="13582" max="13824" width="9" style="3178"/>
    <col min="13825" max="13825" width="43.625" style="3178" customWidth="1"/>
    <col min="13826" max="13826" width="6.25" style="3178" customWidth="1"/>
    <col min="13827" max="13829" width="13.875" style="3178" customWidth="1"/>
    <col min="13830" max="13830" width="36.25" style="3178" customWidth="1"/>
    <col min="13831" max="13831" width="7.875" style="3178" customWidth="1"/>
    <col min="13832" max="13832" width="9" style="3178" customWidth="1"/>
    <col min="13833" max="13834" width="10.625" style="3178" customWidth="1"/>
    <col min="13835" max="13835" width="14.375" style="3178" customWidth="1"/>
    <col min="13836" max="13836" width="6.25" style="3178" customWidth="1"/>
    <col min="13837" max="13837" width="54.75" style="3178" customWidth="1"/>
    <col min="13838" max="14080" width="9" style="3178"/>
    <col min="14081" max="14081" width="43.625" style="3178" customWidth="1"/>
    <col min="14082" max="14082" width="6.25" style="3178" customWidth="1"/>
    <col min="14083" max="14085" width="13.875" style="3178" customWidth="1"/>
    <col min="14086" max="14086" width="36.25" style="3178" customWidth="1"/>
    <col min="14087" max="14087" width="7.875" style="3178" customWidth="1"/>
    <col min="14088" max="14088" width="9" style="3178" customWidth="1"/>
    <col min="14089" max="14090" width="10.625" style="3178" customWidth="1"/>
    <col min="14091" max="14091" width="14.375" style="3178" customWidth="1"/>
    <col min="14092" max="14092" width="6.25" style="3178" customWidth="1"/>
    <col min="14093" max="14093" width="54.75" style="3178" customWidth="1"/>
    <col min="14094" max="14336" width="9" style="3178"/>
    <col min="14337" max="14337" width="43.625" style="3178" customWidth="1"/>
    <col min="14338" max="14338" width="6.25" style="3178" customWidth="1"/>
    <col min="14339" max="14341" width="13.875" style="3178" customWidth="1"/>
    <col min="14342" max="14342" width="36.25" style="3178" customWidth="1"/>
    <col min="14343" max="14343" width="7.875" style="3178" customWidth="1"/>
    <col min="14344" max="14344" width="9" style="3178" customWidth="1"/>
    <col min="14345" max="14346" width="10.625" style="3178" customWidth="1"/>
    <col min="14347" max="14347" width="14.375" style="3178" customWidth="1"/>
    <col min="14348" max="14348" width="6.25" style="3178" customWidth="1"/>
    <col min="14349" max="14349" width="54.75" style="3178" customWidth="1"/>
    <col min="14350" max="14592" width="9" style="3178"/>
    <col min="14593" max="14593" width="43.625" style="3178" customWidth="1"/>
    <col min="14594" max="14594" width="6.25" style="3178" customWidth="1"/>
    <col min="14595" max="14597" width="13.875" style="3178" customWidth="1"/>
    <col min="14598" max="14598" width="36.25" style="3178" customWidth="1"/>
    <col min="14599" max="14599" width="7.875" style="3178" customWidth="1"/>
    <col min="14600" max="14600" width="9" style="3178" customWidth="1"/>
    <col min="14601" max="14602" width="10.625" style="3178" customWidth="1"/>
    <col min="14603" max="14603" width="14.375" style="3178" customWidth="1"/>
    <col min="14604" max="14604" width="6.25" style="3178" customWidth="1"/>
    <col min="14605" max="14605" width="54.75" style="3178" customWidth="1"/>
    <col min="14606" max="14848" width="9" style="3178"/>
    <col min="14849" max="14849" width="43.625" style="3178" customWidth="1"/>
    <col min="14850" max="14850" width="6.25" style="3178" customWidth="1"/>
    <col min="14851" max="14853" width="13.875" style="3178" customWidth="1"/>
    <col min="14854" max="14854" width="36.25" style="3178" customWidth="1"/>
    <col min="14855" max="14855" width="7.875" style="3178" customWidth="1"/>
    <col min="14856" max="14856" width="9" style="3178" customWidth="1"/>
    <col min="14857" max="14858" width="10.625" style="3178" customWidth="1"/>
    <col min="14859" max="14859" width="14.375" style="3178" customWidth="1"/>
    <col min="14860" max="14860" width="6.25" style="3178" customWidth="1"/>
    <col min="14861" max="14861" width="54.75" style="3178" customWidth="1"/>
    <col min="14862" max="15104" width="9" style="3178"/>
    <col min="15105" max="15105" width="43.625" style="3178" customWidth="1"/>
    <col min="15106" max="15106" width="6.25" style="3178" customWidth="1"/>
    <col min="15107" max="15109" width="13.875" style="3178" customWidth="1"/>
    <col min="15110" max="15110" width="36.25" style="3178" customWidth="1"/>
    <col min="15111" max="15111" width="7.875" style="3178" customWidth="1"/>
    <col min="15112" max="15112" width="9" style="3178" customWidth="1"/>
    <col min="15113" max="15114" width="10.625" style="3178" customWidth="1"/>
    <col min="15115" max="15115" width="14.375" style="3178" customWidth="1"/>
    <col min="15116" max="15116" width="6.25" style="3178" customWidth="1"/>
    <col min="15117" max="15117" width="54.75" style="3178" customWidth="1"/>
    <col min="15118" max="15360" width="9" style="3178"/>
    <col min="15361" max="15361" width="43.625" style="3178" customWidth="1"/>
    <col min="15362" max="15362" width="6.25" style="3178" customWidth="1"/>
    <col min="15363" max="15365" width="13.875" style="3178" customWidth="1"/>
    <col min="15366" max="15366" width="36.25" style="3178" customWidth="1"/>
    <col min="15367" max="15367" width="7.875" style="3178" customWidth="1"/>
    <col min="15368" max="15368" width="9" style="3178" customWidth="1"/>
    <col min="15369" max="15370" width="10.625" style="3178" customWidth="1"/>
    <col min="15371" max="15371" width="14.375" style="3178" customWidth="1"/>
    <col min="15372" max="15372" width="6.25" style="3178" customWidth="1"/>
    <col min="15373" max="15373" width="54.75" style="3178" customWidth="1"/>
    <col min="15374" max="15616" width="9" style="3178"/>
    <col min="15617" max="15617" width="43.625" style="3178" customWidth="1"/>
    <col min="15618" max="15618" width="6.25" style="3178" customWidth="1"/>
    <col min="15619" max="15621" width="13.875" style="3178" customWidth="1"/>
    <col min="15622" max="15622" width="36.25" style="3178" customWidth="1"/>
    <col min="15623" max="15623" width="7.875" style="3178" customWidth="1"/>
    <col min="15624" max="15624" width="9" style="3178" customWidth="1"/>
    <col min="15625" max="15626" width="10.625" style="3178" customWidth="1"/>
    <col min="15627" max="15627" width="14.375" style="3178" customWidth="1"/>
    <col min="15628" max="15628" width="6.25" style="3178" customWidth="1"/>
    <col min="15629" max="15629" width="54.75" style="3178" customWidth="1"/>
    <col min="15630" max="15872" width="9" style="3178"/>
    <col min="15873" max="15873" width="43.625" style="3178" customWidth="1"/>
    <col min="15874" max="15874" width="6.25" style="3178" customWidth="1"/>
    <col min="15875" max="15877" width="13.875" style="3178" customWidth="1"/>
    <col min="15878" max="15878" width="36.25" style="3178" customWidth="1"/>
    <col min="15879" max="15879" width="7.875" style="3178" customWidth="1"/>
    <col min="15880" max="15880" width="9" style="3178" customWidth="1"/>
    <col min="15881" max="15882" width="10.625" style="3178" customWidth="1"/>
    <col min="15883" max="15883" width="14.375" style="3178" customWidth="1"/>
    <col min="15884" max="15884" width="6.25" style="3178" customWidth="1"/>
    <col min="15885" max="15885" width="54.75" style="3178" customWidth="1"/>
    <col min="15886" max="16128" width="9" style="3178"/>
    <col min="16129" max="16129" width="43.625" style="3178" customWidth="1"/>
    <col min="16130" max="16130" width="6.25" style="3178" customWidth="1"/>
    <col min="16131" max="16133" width="13.875" style="3178" customWidth="1"/>
    <col min="16134" max="16134" width="36.25" style="3178" customWidth="1"/>
    <col min="16135" max="16135" width="7.875" style="3178" customWidth="1"/>
    <col min="16136" max="16136" width="9" style="3178" customWidth="1"/>
    <col min="16137" max="16138" width="10.625" style="3178" customWidth="1"/>
    <col min="16139" max="16139" width="14.375" style="3178" customWidth="1"/>
    <col min="16140" max="16140" width="6.25" style="3178" customWidth="1"/>
    <col min="16141" max="16141" width="54.75" style="3178" customWidth="1"/>
    <col min="16142" max="16384" width="9" style="3178"/>
  </cols>
  <sheetData>
    <row r="1" spans="1:13" s="3177" customFormat="1" ht="28.5">
      <c r="A1" s="3177" t="s">
        <v>2984</v>
      </c>
      <c r="B1" s="3177" t="s">
        <v>2985</v>
      </c>
      <c r="C1" s="3177" t="s">
        <v>2986</v>
      </c>
      <c r="D1" s="3177" t="s">
        <v>2987</v>
      </c>
      <c r="E1" s="3177" t="s">
        <v>2988</v>
      </c>
      <c r="F1" s="3177" t="s">
        <v>2035</v>
      </c>
      <c r="G1" s="3177" t="s">
        <v>2989</v>
      </c>
      <c r="H1" s="3177" t="s">
        <v>2990</v>
      </c>
      <c r="I1" s="3177" t="s">
        <v>2991</v>
      </c>
      <c r="J1" s="3177" t="s">
        <v>2992</v>
      </c>
      <c r="K1" s="3177" t="s">
        <v>2993</v>
      </c>
      <c r="L1" s="3177" t="s">
        <v>2994</v>
      </c>
      <c r="M1" s="3177" t="s">
        <v>2995</v>
      </c>
    </row>
    <row r="2" spans="1:13">
      <c r="A2" s="3178" t="s">
        <v>2996</v>
      </c>
      <c r="B2" s="3178" t="s">
        <v>2997</v>
      </c>
      <c r="C2" s="3178" t="s">
        <v>2998</v>
      </c>
      <c r="D2" s="3178">
        <v>20742.8</v>
      </c>
      <c r="E2" s="3178">
        <v>51857</v>
      </c>
      <c r="F2" s="3178">
        <f>E2/D2</f>
        <v>2.5</v>
      </c>
      <c r="G2" s="3178" t="s">
        <v>2999</v>
      </c>
      <c r="H2" s="3178" t="s">
        <v>3000</v>
      </c>
      <c r="I2" s="3178">
        <v>41500</v>
      </c>
      <c r="J2" s="3178">
        <v>42000</v>
      </c>
      <c r="K2" s="3178">
        <v>8099.19</v>
      </c>
      <c r="L2" s="3178">
        <v>1.2</v>
      </c>
      <c r="M2" s="3178" t="s">
        <v>3001</v>
      </c>
    </row>
    <row r="3" spans="1:13" s="3179" customFormat="1" ht="9.75" customHeight="1">
      <c r="A3" s="3179" t="s">
        <v>3002</v>
      </c>
      <c r="B3" s="3179" t="s">
        <v>2997</v>
      </c>
      <c r="C3" s="3179" t="s">
        <v>2998</v>
      </c>
      <c r="D3" s="3179">
        <v>36905.599999999999</v>
      </c>
      <c r="E3" s="3179">
        <v>110716.8</v>
      </c>
      <c r="F3" s="3179">
        <f t="shared" ref="F3:F34" si="0">E3/D3</f>
        <v>3</v>
      </c>
      <c r="G3" s="3179" t="s">
        <v>2999</v>
      </c>
      <c r="H3" s="3179" t="s">
        <v>3003</v>
      </c>
      <c r="I3" s="3179">
        <v>137300</v>
      </c>
      <c r="J3" s="3179">
        <v>140300</v>
      </c>
      <c r="K3" s="3179">
        <v>12672</v>
      </c>
      <c r="L3" s="3179">
        <v>2.1800000000000002</v>
      </c>
      <c r="M3" s="3179" t="s">
        <v>3004</v>
      </c>
    </row>
    <row r="4" spans="1:13" s="3179" customFormat="1">
      <c r="A4" s="3179" t="s">
        <v>3005</v>
      </c>
      <c r="B4" s="3179" t="s">
        <v>2997</v>
      </c>
      <c r="C4" s="3179" t="s">
        <v>2998</v>
      </c>
      <c r="D4" s="3179">
        <v>85335.72</v>
      </c>
      <c r="E4" s="3179">
        <v>256007</v>
      </c>
      <c r="F4" s="3179">
        <v>3</v>
      </c>
      <c r="G4" s="3179" t="s">
        <v>2999</v>
      </c>
      <c r="H4" s="3179" t="s">
        <v>3006</v>
      </c>
      <c r="I4" s="3179">
        <v>317800</v>
      </c>
      <c r="J4" s="3179">
        <v>321800</v>
      </c>
      <c r="K4" s="3179">
        <v>12570</v>
      </c>
      <c r="L4" s="3179">
        <v>1.26</v>
      </c>
      <c r="M4" s="3179" t="s">
        <v>3007</v>
      </c>
    </row>
    <row r="5" spans="1:13" s="3179" customFormat="1">
      <c r="A5" s="3179" t="s">
        <v>3008</v>
      </c>
      <c r="B5" s="3179" t="s">
        <v>2997</v>
      </c>
      <c r="C5" s="3179" t="s">
        <v>2998</v>
      </c>
      <c r="D5" s="3179">
        <v>133319.1</v>
      </c>
      <c r="E5" s="3179">
        <v>399957</v>
      </c>
      <c r="F5" s="3179">
        <v>2</v>
      </c>
      <c r="G5" s="3179" t="s">
        <v>2999</v>
      </c>
      <c r="H5" s="3179" t="s">
        <v>3006</v>
      </c>
      <c r="I5" s="3179">
        <v>496500</v>
      </c>
      <c r="J5" s="3179">
        <v>499500</v>
      </c>
      <c r="K5" s="3179">
        <v>12489</v>
      </c>
      <c r="L5" s="3179">
        <v>0.6</v>
      </c>
      <c r="M5" s="3179" t="s">
        <v>3009</v>
      </c>
    </row>
    <row r="6" spans="1:13" hidden="1">
      <c r="A6" s="3178" t="s">
        <v>3010</v>
      </c>
      <c r="B6" s="3178" t="s">
        <v>2997</v>
      </c>
      <c r="C6" s="3178" t="s">
        <v>2998</v>
      </c>
      <c r="D6" s="3178">
        <v>40049.4</v>
      </c>
      <c r="E6" s="3178">
        <v>100123.5</v>
      </c>
      <c r="F6" s="3178">
        <f t="shared" si="0"/>
        <v>2.5</v>
      </c>
      <c r="G6" s="3178" t="s">
        <v>2999</v>
      </c>
      <c r="H6" s="3178" t="s">
        <v>3006</v>
      </c>
      <c r="I6" s="3178">
        <v>103600</v>
      </c>
      <c r="J6" s="3178">
        <v>133600</v>
      </c>
      <c r="K6" s="3178">
        <v>13343.52</v>
      </c>
      <c r="L6" s="3178">
        <v>28.96</v>
      </c>
      <c r="M6" s="3178" t="s">
        <v>3011</v>
      </c>
    </row>
    <row r="7" spans="1:13" hidden="1">
      <c r="A7" s="3178" t="s">
        <v>3012</v>
      </c>
      <c r="B7" s="3178" t="s">
        <v>2997</v>
      </c>
      <c r="C7" s="3178" t="s">
        <v>2998</v>
      </c>
      <c r="D7" s="3178">
        <v>35506.5</v>
      </c>
      <c r="E7" s="3178">
        <v>99418.2</v>
      </c>
      <c r="F7" s="3178">
        <f t="shared" si="0"/>
        <v>2.8</v>
      </c>
      <c r="G7" s="3178" t="s">
        <v>2999</v>
      </c>
      <c r="H7" s="3178" t="s">
        <v>3006</v>
      </c>
      <c r="I7" s="3178">
        <v>102800</v>
      </c>
      <c r="J7" s="3178">
        <v>149100</v>
      </c>
      <c r="K7" s="3178">
        <v>14997.25</v>
      </c>
      <c r="L7" s="3178">
        <v>45.04</v>
      </c>
      <c r="M7" s="3178" t="s">
        <v>3013</v>
      </c>
    </row>
    <row r="8" spans="1:13" hidden="1">
      <c r="A8" s="3178" t="s">
        <v>3014</v>
      </c>
      <c r="B8" s="3178" t="s">
        <v>2997</v>
      </c>
      <c r="C8" s="3178" t="s">
        <v>2998</v>
      </c>
      <c r="D8" s="3178">
        <v>101047.7</v>
      </c>
      <c r="E8" s="3178">
        <v>246320</v>
      </c>
      <c r="F8" s="3178">
        <f t="shared" si="0"/>
        <v>2.4376606295838501</v>
      </c>
      <c r="G8" s="3178" t="s">
        <v>2999</v>
      </c>
      <c r="H8" s="3178" t="s">
        <v>3015</v>
      </c>
      <c r="I8" s="3178">
        <v>206200</v>
      </c>
      <c r="J8" s="3178">
        <v>206200</v>
      </c>
      <c r="K8" s="3178">
        <v>8371.2099999999991</v>
      </c>
      <c r="L8" s="3178">
        <v>0</v>
      </c>
      <c r="M8" s="3178" t="s">
        <v>3016</v>
      </c>
    </row>
    <row r="9" spans="1:13" hidden="1">
      <c r="A9" s="3178" t="s">
        <v>3017</v>
      </c>
      <c r="B9" s="3178" t="s">
        <v>2997</v>
      </c>
      <c r="C9" s="3178" t="s">
        <v>3018</v>
      </c>
      <c r="D9" s="3178">
        <v>92441.600000000006</v>
      </c>
      <c r="E9" s="3178">
        <v>254586</v>
      </c>
      <c r="F9" s="3178">
        <f t="shared" si="0"/>
        <v>2.7540198352256993</v>
      </c>
      <c r="G9" s="3178" t="s">
        <v>2999</v>
      </c>
      <c r="H9" s="3178" t="s">
        <v>3019</v>
      </c>
      <c r="I9" s="3178">
        <v>223800</v>
      </c>
      <c r="J9" s="3178">
        <v>223800</v>
      </c>
      <c r="K9" s="3178">
        <v>8790.73</v>
      </c>
      <c r="L9" s="3178">
        <v>0</v>
      </c>
      <c r="M9" s="3178" t="s">
        <v>3016</v>
      </c>
    </row>
    <row r="10" spans="1:13" hidden="1">
      <c r="A10" s="3178" t="s">
        <v>3020</v>
      </c>
      <c r="B10" s="3178" t="s">
        <v>2997</v>
      </c>
      <c r="C10" s="3178" t="s">
        <v>3018</v>
      </c>
      <c r="D10" s="3178">
        <v>83156.2</v>
      </c>
      <c r="E10" s="3178">
        <v>201519</v>
      </c>
      <c r="F10" s="3178">
        <f t="shared" si="0"/>
        <v>2.4233791346886946</v>
      </c>
      <c r="G10" s="3178" t="s">
        <v>2999</v>
      </c>
      <c r="H10" s="3178" t="s">
        <v>3019</v>
      </c>
      <c r="I10" s="3178">
        <v>167200</v>
      </c>
      <c r="J10" s="3178">
        <v>167200</v>
      </c>
      <c r="K10" s="3178">
        <v>8296.9699999999993</v>
      </c>
      <c r="L10" s="3178">
        <v>0</v>
      </c>
      <c r="M10" s="3178" t="s">
        <v>3016</v>
      </c>
    </row>
    <row r="11" spans="1:13" hidden="1">
      <c r="A11" s="3178" t="s">
        <v>3021</v>
      </c>
      <c r="B11" s="3178" t="s">
        <v>2997</v>
      </c>
      <c r="C11" s="3178" t="s">
        <v>3018</v>
      </c>
      <c r="D11" s="3178">
        <v>323348.3</v>
      </c>
      <c r="E11" s="3178">
        <v>877011</v>
      </c>
      <c r="F11" s="3178">
        <f t="shared" si="0"/>
        <v>2.7122796068511881</v>
      </c>
      <c r="G11" s="3178" t="s">
        <v>2999</v>
      </c>
      <c r="H11" s="3178" t="s">
        <v>3022</v>
      </c>
      <c r="I11" s="3178">
        <v>1315517</v>
      </c>
      <c r="J11" s="3178">
        <v>1315517</v>
      </c>
      <c r="K11" s="3178">
        <v>15000.01</v>
      </c>
      <c r="L11" s="3178">
        <v>0</v>
      </c>
      <c r="M11" s="3178" t="s">
        <v>3023</v>
      </c>
    </row>
    <row r="12" spans="1:13" hidden="1">
      <c r="A12" s="3178" t="s">
        <v>3024</v>
      </c>
      <c r="B12" s="3178" t="s">
        <v>2997</v>
      </c>
      <c r="C12" s="3178" t="s">
        <v>3018</v>
      </c>
      <c r="D12" s="3178">
        <v>15504</v>
      </c>
      <c r="E12" s="3178">
        <v>105428</v>
      </c>
      <c r="F12" s="3178">
        <f t="shared" si="0"/>
        <v>6.8000515995872037</v>
      </c>
      <c r="G12" s="3178" t="s">
        <v>2999</v>
      </c>
      <c r="H12" s="3178" t="s">
        <v>3025</v>
      </c>
      <c r="I12" s="3178">
        <v>62100</v>
      </c>
      <c r="J12" s="3178">
        <v>62100</v>
      </c>
      <c r="K12" s="3178">
        <v>5890.27</v>
      </c>
      <c r="L12" s="3178">
        <v>0</v>
      </c>
      <c r="M12" s="3178" t="s">
        <v>3026</v>
      </c>
    </row>
    <row r="13" spans="1:13" hidden="1">
      <c r="A13" s="3178" t="s">
        <v>3027</v>
      </c>
      <c r="B13" s="3178" t="s">
        <v>2997</v>
      </c>
      <c r="C13" s="3178" t="s">
        <v>3018</v>
      </c>
      <c r="D13" s="3178">
        <v>35245.19</v>
      </c>
      <c r="E13" s="3178">
        <v>250000</v>
      </c>
      <c r="F13" s="3178">
        <f t="shared" si="0"/>
        <v>7.0931664717937393</v>
      </c>
      <c r="G13" s="3178" t="s">
        <v>2999</v>
      </c>
      <c r="H13" s="3178" t="s">
        <v>3028</v>
      </c>
      <c r="I13" s="3178">
        <v>208500</v>
      </c>
      <c r="J13" s="3178">
        <v>208500</v>
      </c>
      <c r="K13" s="3178">
        <v>8340</v>
      </c>
      <c r="L13" s="3178">
        <v>0</v>
      </c>
      <c r="M13" s="3178" t="s">
        <v>3029</v>
      </c>
    </row>
    <row r="14" spans="1:13" s="3180" customFormat="1" hidden="1">
      <c r="A14" s="3180" t="s">
        <v>3030</v>
      </c>
      <c r="B14" s="3180" t="s">
        <v>2997</v>
      </c>
      <c r="C14" s="3180" t="s">
        <v>3018</v>
      </c>
      <c r="D14" s="3180">
        <v>19453.830000000002</v>
      </c>
      <c r="E14" s="3180">
        <v>159521</v>
      </c>
      <c r="F14" s="3180">
        <f t="shared" si="0"/>
        <v>8.1999791300736149</v>
      </c>
      <c r="G14" s="3180" t="s">
        <v>2999</v>
      </c>
      <c r="H14" s="3180" t="s">
        <v>3031</v>
      </c>
      <c r="I14" s="3180">
        <v>133000</v>
      </c>
      <c r="J14" s="3180">
        <v>133000</v>
      </c>
      <c r="K14" s="3180">
        <v>8337.4500000000007</v>
      </c>
      <c r="L14" s="3180">
        <v>0</v>
      </c>
      <c r="M14" s="3180" t="s">
        <v>3032</v>
      </c>
    </row>
    <row r="15" spans="1:13" hidden="1">
      <c r="A15" s="3178" t="s">
        <v>3033</v>
      </c>
      <c r="B15" s="3178" t="s">
        <v>2997</v>
      </c>
      <c r="C15" s="3178" t="s">
        <v>3018</v>
      </c>
      <c r="D15" s="3178">
        <v>43268.92</v>
      </c>
      <c r="E15" s="3178">
        <v>302883</v>
      </c>
      <c r="F15" s="3178">
        <f t="shared" si="0"/>
        <v>7.0000129423151769</v>
      </c>
      <c r="G15" s="3178" t="s">
        <v>2999</v>
      </c>
      <c r="H15" s="3178" t="s">
        <v>3031</v>
      </c>
      <c r="I15" s="3178">
        <v>252600</v>
      </c>
      <c r="J15" s="3178">
        <v>252600</v>
      </c>
      <c r="K15" s="3178">
        <v>8339.85</v>
      </c>
      <c r="L15" s="3178">
        <v>0</v>
      </c>
      <c r="M15" s="3178" t="s">
        <v>3034</v>
      </c>
    </row>
    <row r="16" spans="1:13" hidden="1">
      <c r="A16" s="3178" t="s">
        <v>3035</v>
      </c>
      <c r="B16" s="3178" t="s">
        <v>2997</v>
      </c>
      <c r="C16" s="3178" t="s">
        <v>2998</v>
      </c>
      <c r="D16" s="3178">
        <v>54133.5</v>
      </c>
      <c r="E16" s="3178">
        <v>194880.6</v>
      </c>
      <c r="F16" s="3178">
        <f t="shared" si="0"/>
        <v>3.6</v>
      </c>
      <c r="G16" s="3178" t="s">
        <v>2999</v>
      </c>
      <c r="H16" s="3178" t="s">
        <v>3036</v>
      </c>
      <c r="I16" s="3178">
        <v>53900</v>
      </c>
      <c r="J16" s="3178">
        <v>53900</v>
      </c>
      <c r="K16" s="3178">
        <v>2765.8</v>
      </c>
      <c r="L16" s="3178">
        <v>0</v>
      </c>
      <c r="M16" s="3178" t="s">
        <v>3037</v>
      </c>
    </row>
    <row r="17" spans="1:13" hidden="1">
      <c r="A17" s="3178" t="s">
        <v>3038</v>
      </c>
      <c r="B17" s="3178" t="s">
        <v>2997</v>
      </c>
      <c r="C17" s="3178" t="s">
        <v>2998</v>
      </c>
      <c r="D17" s="3178">
        <v>34260</v>
      </c>
      <c r="E17" s="3178">
        <v>102780</v>
      </c>
      <c r="F17" s="3178">
        <f t="shared" si="0"/>
        <v>3</v>
      </c>
      <c r="G17" s="3178" t="s">
        <v>2999</v>
      </c>
      <c r="H17" s="3178" t="s">
        <v>3039</v>
      </c>
      <c r="I17" s="3178">
        <v>82300</v>
      </c>
      <c r="J17" s="3178">
        <v>82300</v>
      </c>
      <c r="K17" s="3178">
        <v>8007.39</v>
      </c>
      <c r="L17" s="3178">
        <v>0</v>
      </c>
      <c r="M17" s="3178" t="s">
        <v>3040</v>
      </c>
    </row>
    <row r="18" spans="1:13" s="3180" customFormat="1" hidden="1">
      <c r="A18" s="3180" t="s">
        <v>3041</v>
      </c>
      <c r="B18" s="3180" t="s">
        <v>2997</v>
      </c>
      <c r="C18" s="3180" t="s">
        <v>2998</v>
      </c>
      <c r="D18" s="3180">
        <v>28001</v>
      </c>
      <c r="E18" s="3180">
        <v>78402.8</v>
      </c>
      <c r="F18" s="3180">
        <f t="shared" si="0"/>
        <v>2.8000000000000003</v>
      </c>
      <c r="G18" s="3180" t="s">
        <v>2999</v>
      </c>
      <c r="H18" s="3180" t="s">
        <v>3042</v>
      </c>
      <c r="I18" s="3180">
        <v>81100</v>
      </c>
      <c r="J18" s="3180">
        <v>117600</v>
      </c>
      <c r="K18" s="3180">
        <v>14999</v>
      </c>
      <c r="L18" s="3180">
        <v>45.01</v>
      </c>
      <c r="M18" s="3180" t="s">
        <v>3043</v>
      </c>
    </row>
    <row r="19" spans="1:13" hidden="1">
      <c r="A19" s="3178" t="s">
        <v>3044</v>
      </c>
      <c r="B19" s="3178" t="s">
        <v>2997</v>
      </c>
      <c r="C19" s="3178" t="s">
        <v>2998</v>
      </c>
      <c r="D19" s="3178">
        <v>3127.5</v>
      </c>
      <c r="E19" s="3178">
        <v>10008</v>
      </c>
      <c r="F19" s="3178">
        <f t="shared" si="0"/>
        <v>3.2</v>
      </c>
      <c r="G19" s="3178" t="s">
        <v>2999</v>
      </c>
      <c r="H19" s="3178" t="s">
        <v>3045</v>
      </c>
      <c r="I19" s="3178">
        <v>11300</v>
      </c>
      <c r="J19" s="3178">
        <v>14000</v>
      </c>
      <c r="K19" s="3178">
        <v>13988.8</v>
      </c>
      <c r="L19" s="3178">
        <v>23.89</v>
      </c>
      <c r="M19" s="3178" t="s">
        <v>3046</v>
      </c>
    </row>
    <row r="20" spans="1:13" hidden="1">
      <c r="A20" s="3178" t="s">
        <v>3047</v>
      </c>
      <c r="B20" s="3178" t="s">
        <v>2997</v>
      </c>
      <c r="C20" s="3178" t="s">
        <v>2998</v>
      </c>
      <c r="D20" s="3178">
        <v>83178</v>
      </c>
      <c r="E20" s="3178">
        <v>300272.59999999998</v>
      </c>
      <c r="F20" s="3178">
        <f t="shared" si="0"/>
        <v>3.610000240448195</v>
      </c>
      <c r="G20" s="3178" t="s">
        <v>2999</v>
      </c>
      <c r="H20" s="3178" t="s">
        <v>3045</v>
      </c>
      <c r="I20" s="3178">
        <v>300000</v>
      </c>
      <c r="J20" s="3178">
        <v>435000</v>
      </c>
      <c r="K20" s="3178">
        <v>14486.84</v>
      </c>
      <c r="L20" s="3178">
        <v>45</v>
      </c>
      <c r="M20" s="3178" t="s">
        <v>3048</v>
      </c>
    </row>
    <row r="21" spans="1:13" hidden="1">
      <c r="A21" s="3178" t="s">
        <v>3049</v>
      </c>
      <c r="B21" s="3178" t="s">
        <v>2997</v>
      </c>
      <c r="C21" s="3178" t="s">
        <v>2998</v>
      </c>
      <c r="D21" s="3178">
        <v>118933</v>
      </c>
      <c r="E21" s="3178">
        <v>356799</v>
      </c>
      <c r="F21" s="3178">
        <f t="shared" si="0"/>
        <v>3</v>
      </c>
      <c r="G21" s="3178" t="s">
        <v>2999</v>
      </c>
      <c r="H21" s="3178" t="s">
        <v>3045</v>
      </c>
      <c r="I21" s="3178">
        <v>369100</v>
      </c>
      <c r="J21" s="3178">
        <v>535100</v>
      </c>
      <c r="K21" s="3178">
        <v>14997.23</v>
      </c>
      <c r="L21" s="3178">
        <v>44.97</v>
      </c>
      <c r="M21" s="3178" t="s">
        <v>3050</v>
      </c>
    </row>
    <row r="22" spans="1:13" hidden="1">
      <c r="A22" s="3178" t="s">
        <v>3049</v>
      </c>
      <c r="B22" s="3178" t="s">
        <v>2997</v>
      </c>
      <c r="C22" s="3178" t="s">
        <v>2998</v>
      </c>
      <c r="D22" s="3178">
        <v>95832</v>
      </c>
      <c r="E22" s="3178">
        <v>287496</v>
      </c>
      <c r="F22" s="3178">
        <f t="shared" si="0"/>
        <v>3</v>
      </c>
      <c r="G22" s="3178" t="s">
        <v>2999</v>
      </c>
      <c r="H22" s="3178" t="s">
        <v>3045</v>
      </c>
      <c r="I22" s="3178">
        <v>297400</v>
      </c>
      <c r="J22" s="3178">
        <v>431200</v>
      </c>
      <c r="K22" s="3178">
        <v>14998.46</v>
      </c>
      <c r="L22" s="3178">
        <v>44.99</v>
      </c>
      <c r="M22" s="3178" t="s">
        <v>3050</v>
      </c>
    </row>
    <row r="23" spans="1:13" hidden="1">
      <c r="A23" s="3178" t="s">
        <v>3049</v>
      </c>
      <c r="B23" s="3178" t="s">
        <v>2997</v>
      </c>
      <c r="C23" s="3178" t="s">
        <v>2998</v>
      </c>
      <c r="D23" s="3178">
        <v>34300.5</v>
      </c>
      <c r="E23" s="3178">
        <v>102901.5</v>
      </c>
      <c r="F23" s="3178">
        <f t="shared" si="0"/>
        <v>3</v>
      </c>
      <c r="G23" s="3178" t="s">
        <v>2999</v>
      </c>
      <c r="H23" s="3178" t="s">
        <v>3045</v>
      </c>
      <c r="I23" s="3178">
        <v>106400</v>
      </c>
      <c r="J23" s="3178">
        <v>154200</v>
      </c>
      <c r="K23" s="3178">
        <v>14985.2</v>
      </c>
      <c r="L23" s="3178">
        <v>44.92</v>
      </c>
      <c r="M23" s="3178" t="s">
        <v>3050</v>
      </c>
    </row>
    <row r="24" spans="1:13" hidden="1">
      <c r="A24" s="3178" t="s">
        <v>3051</v>
      </c>
      <c r="B24" s="3178" t="s">
        <v>2997</v>
      </c>
      <c r="C24" s="3178" t="s">
        <v>2998</v>
      </c>
      <c r="D24" s="3178">
        <v>42462.48</v>
      </c>
      <c r="E24" s="3178">
        <v>106156.2</v>
      </c>
      <c r="F24" s="3178">
        <f t="shared" si="0"/>
        <v>2.4999999999999996</v>
      </c>
      <c r="G24" s="3178" t="s">
        <v>2999</v>
      </c>
      <c r="H24" s="3178" t="s">
        <v>3052</v>
      </c>
      <c r="I24" s="3178">
        <v>49400</v>
      </c>
      <c r="J24" s="3178">
        <v>49400</v>
      </c>
      <c r="K24" s="3178">
        <v>4653.5200000000004</v>
      </c>
      <c r="L24" s="3178">
        <v>0</v>
      </c>
      <c r="M24" s="3178" t="s">
        <v>3053</v>
      </c>
    </row>
    <row r="25" spans="1:13" hidden="1">
      <c r="A25" s="3178" t="s">
        <v>3054</v>
      </c>
      <c r="B25" s="3178" t="s">
        <v>2997</v>
      </c>
      <c r="C25" s="3178" t="s">
        <v>2998</v>
      </c>
      <c r="D25" s="3178">
        <v>53463</v>
      </c>
      <c r="E25" s="3178">
        <v>133657.5</v>
      </c>
      <c r="F25" s="3178">
        <f t="shared" si="0"/>
        <v>2.5</v>
      </c>
      <c r="G25" s="3178" t="s">
        <v>2999</v>
      </c>
      <c r="H25" s="3178" t="s">
        <v>3055</v>
      </c>
      <c r="I25" s="3178">
        <v>60200</v>
      </c>
      <c r="J25" s="3178">
        <v>168500</v>
      </c>
      <c r="K25" s="3178">
        <v>12606.85</v>
      </c>
      <c r="L25" s="3178">
        <v>179.9</v>
      </c>
      <c r="M25" s="3178" t="s">
        <v>3056</v>
      </c>
    </row>
    <row r="26" spans="1:13" hidden="1">
      <c r="A26" s="3178" t="s">
        <v>3057</v>
      </c>
      <c r="B26" s="3178" t="s">
        <v>2997</v>
      </c>
      <c r="C26" s="3178" t="s">
        <v>2998</v>
      </c>
      <c r="D26" s="3178">
        <v>51950</v>
      </c>
      <c r="E26" s="3178">
        <v>129875</v>
      </c>
      <c r="F26" s="3178">
        <f t="shared" si="0"/>
        <v>2.5</v>
      </c>
      <c r="G26" s="3178" t="s">
        <v>2999</v>
      </c>
      <c r="H26" s="3178" t="s">
        <v>3055</v>
      </c>
      <c r="I26" s="3178">
        <v>57200</v>
      </c>
      <c r="J26" s="3178">
        <v>157000</v>
      </c>
      <c r="K26" s="3178">
        <v>12088.54</v>
      </c>
      <c r="L26" s="3178">
        <v>174.48</v>
      </c>
      <c r="M26" s="3178" t="s">
        <v>3058</v>
      </c>
    </row>
    <row r="27" spans="1:13" hidden="1">
      <c r="A27" s="3178" t="s">
        <v>3059</v>
      </c>
      <c r="B27" s="3178" t="s">
        <v>2997</v>
      </c>
      <c r="C27" s="3178" t="s">
        <v>2998</v>
      </c>
      <c r="D27" s="3178">
        <v>20911.48</v>
      </c>
      <c r="E27" s="3178">
        <v>36282</v>
      </c>
      <c r="F27" s="3178">
        <f t="shared" si="0"/>
        <v>1.7350278411666702</v>
      </c>
      <c r="G27" s="3178" t="s">
        <v>2999</v>
      </c>
      <c r="H27" s="3178" t="s">
        <v>3060</v>
      </c>
      <c r="I27" s="3178">
        <v>7100</v>
      </c>
      <c r="J27" s="3178">
        <v>14600</v>
      </c>
      <c r="K27" s="3178">
        <v>4024.03</v>
      </c>
      <c r="L27" s="3178">
        <v>105.63</v>
      </c>
      <c r="M27" s="3178" t="s">
        <v>3058</v>
      </c>
    </row>
    <row r="28" spans="1:13" hidden="1">
      <c r="A28" s="3178" t="s">
        <v>3061</v>
      </c>
      <c r="B28" s="3178" t="s">
        <v>2997</v>
      </c>
      <c r="C28" s="3178" t="s">
        <v>2998</v>
      </c>
      <c r="D28" s="3178">
        <v>50970.95</v>
      </c>
      <c r="E28" s="3178">
        <v>44235</v>
      </c>
      <c r="F28" s="3178">
        <f t="shared" si="0"/>
        <v>0.86784727379026683</v>
      </c>
      <c r="G28" s="3178" t="s">
        <v>2999</v>
      </c>
      <c r="H28" s="3178" t="s">
        <v>3060</v>
      </c>
      <c r="I28" s="3178">
        <v>8100</v>
      </c>
      <c r="J28" s="3178">
        <v>17800</v>
      </c>
      <c r="K28" s="3178">
        <v>4023.96</v>
      </c>
      <c r="L28" s="3178">
        <v>119.75</v>
      </c>
      <c r="M28" s="3178" t="s">
        <v>3053</v>
      </c>
    </row>
    <row r="29" spans="1:13" hidden="1">
      <c r="A29" s="3178" t="s">
        <v>3062</v>
      </c>
      <c r="B29" s="3178" t="s">
        <v>2997</v>
      </c>
      <c r="C29" s="3178" t="s">
        <v>2998</v>
      </c>
      <c r="D29" s="3178">
        <v>64373.5</v>
      </c>
      <c r="E29" s="3178">
        <v>160934</v>
      </c>
      <c r="F29" s="3178">
        <f t="shared" si="0"/>
        <v>2.5000038835856371</v>
      </c>
      <c r="G29" s="3178" t="s">
        <v>2999</v>
      </c>
      <c r="H29" s="3178" t="s">
        <v>3063</v>
      </c>
      <c r="I29" s="3178">
        <v>45400</v>
      </c>
      <c r="J29" s="3178">
        <v>126000</v>
      </c>
      <c r="K29" s="3178">
        <v>7829.3</v>
      </c>
      <c r="L29" s="3178">
        <v>177.53</v>
      </c>
      <c r="M29" s="3178" t="s">
        <v>3064</v>
      </c>
    </row>
    <row r="30" spans="1:13" hidden="1">
      <c r="A30" s="3178" t="s">
        <v>3065</v>
      </c>
      <c r="B30" s="3178" t="s">
        <v>2997</v>
      </c>
      <c r="C30" s="3178" t="s">
        <v>2998</v>
      </c>
      <c r="D30" s="3178">
        <v>10800.15</v>
      </c>
      <c r="E30" s="3178">
        <v>27020.28</v>
      </c>
      <c r="F30" s="3178">
        <f t="shared" si="0"/>
        <v>2.5018430299579171</v>
      </c>
      <c r="G30" s="3178" t="s">
        <v>2999</v>
      </c>
      <c r="H30" s="3178" t="s">
        <v>3063</v>
      </c>
      <c r="I30" s="3178">
        <v>7200</v>
      </c>
      <c r="J30" s="3178">
        <v>19000</v>
      </c>
      <c r="K30" s="3178">
        <v>7031.76</v>
      </c>
      <c r="L30" s="3178">
        <v>163.89</v>
      </c>
      <c r="M30" s="3178" t="s">
        <v>3066</v>
      </c>
    </row>
    <row r="31" spans="1:13" hidden="1">
      <c r="A31" s="3178" t="s">
        <v>3067</v>
      </c>
      <c r="B31" s="3178" t="s">
        <v>2997</v>
      </c>
      <c r="C31" s="3178" t="s">
        <v>2998</v>
      </c>
      <c r="D31" s="3178">
        <v>128540.4</v>
      </c>
      <c r="E31" s="3178">
        <v>257080.8</v>
      </c>
      <c r="F31" s="3178">
        <f t="shared" si="0"/>
        <v>2</v>
      </c>
      <c r="G31" s="3178" t="s">
        <v>2999</v>
      </c>
      <c r="H31" s="3178" t="s">
        <v>3068</v>
      </c>
      <c r="I31" s="3178">
        <v>54000</v>
      </c>
      <c r="J31" s="3178">
        <v>149500</v>
      </c>
      <c r="K31" s="3178">
        <v>5815.28</v>
      </c>
      <c r="L31" s="3178">
        <v>176.85</v>
      </c>
      <c r="M31" s="3178" t="s">
        <v>3069</v>
      </c>
    </row>
    <row r="32" spans="1:13" hidden="1">
      <c r="A32" s="3178" t="s">
        <v>3067</v>
      </c>
      <c r="B32" s="3178" t="s">
        <v>2997</v>
      </c>
      <c r="C32" s="3178" t="s">
        <v>2998</v>
      </c>
      <c r="D32" s="3178">
        <v>138000</v>
      </c>
      <c r="E32" s="3178">
        <v>276000</v>
      </c>
      <c r="F32" s="3178">
        <f t="shared" si="0"/>
        <v>2</v>
      </c>
      <c r="G32" s="3178" t="s">
        <v>2999</v>
      </c>
      <c r="H32" s="3178" t="s">
        <v>3068</v>
      </c>
      <c r="I32" s="3178">
        <v>56900</v>
      </c>
      <c r="J32" s="3178">
        <v>160000</v>
      </c>
      <c r="K32" s="3178">
        <v>5797.1</v>
      </c>
      <c r="L32" s="3178">
        <v>181.2</v>
      </c>
      <c r="M32" s="3178" t="s">
        <v>3069</v>
      </c>
    </row>
    <row r="33" spans="1:13" hidden="1">
      <c r="A33" s="3178" t="s">
        <v>3070</v>
      </c>
      <c r="B33" s="3178" t="s">
        <v>2997</v>
      </c>
      <c r="C33" s="3178" t="s">
        <v>2998</v>
      </c>
      <c r="D33" s="3178">
        <v>97841</v>
      </c>
      <c r="E33" s="3178">
        <v>195682</v>
      </c>
      <c r="F33" s="3178">
        <f t="shared" si="0"/>
        <v>2</v>
      </c>
      <c r="G33" s="3178" t="s">
        <v>2999</v>
      </c>
      <c r="H33" s="3178" t="s">
        <v>3071</v>
      </c>
      <c r="I33" s="3178">
        <v>45600</v>
      </c>
      <c r="J33" s="3178">
        <v>45600</v>
      </c>
      <c r="K33" s="3178">
        <v>2330.3000000000002</v>
      </c>
      <c r="L33" s="3178">
        <v>0</v>
      </c>
      <c r="M33" s="3178" t="s">
        <v>3072</v>
      </c>
    </row>
    <row r="34" spans="1:13" hidden="1">
      <c r="A34" s="3178" t="s">
        <v>3073</v>
      </c>
      <c r="B34" s="3178" t="s">
        <v>2997</v>
      </c>
      <c r="C34" s="3178" t="s">
        <v>2998</v>
      </c>
      <c r="D34" s="3178">
        <v>109083</v>
      </c>
      <c r="E34" s="3178">
        <v>272707.5</v>
      </c>
      <c r="F34" s="3178">
        <f t="shared" si="0"/>
        <v>2.5</v>
      </c>
      <c r="G34" s="3178" t="s">
        <v>2999</v>
      </c>
      <c r="H34" s="3178" t="s">
        <v>3074</v>
      </c>
      <c r="I34" s="3178">
        <v>72800</v>
      </c>
      <c r="J34" s="3178">
        <v>72800</v>
      </c>
      <c r="K34" s="3178">
        <v>2669.53</v>
      </c>
      <c r="L34" s="3178">
        <v>0</v>
      </c>
      <c r="M34" s="3178" t="s">
        <v>3075</v>
      </c>
    </row>
  </sheetData>
  <phoneticPr fontId="2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2474</v>
      </c>
      <c r="B1" s="3494"/>
      <c r="C1" s="3495"/>
      <c r="D1" s="3496">
        <f>SUM(I10,I15,I20,I21,I23)</f>
        <v>0</v>
      </c>
      <c r="E1" s="3496"/>
      <c r="F1" s="3496"/>
      <c r="G1" s="3496"/>
      <c r="H1" s="3496"/>
      <c r="I1" s="3497"/>
    </row>
    <row r="2" spans="1:9">
      <c r="A2" s="3483" t="s">
        <v>2475</v>
      </c>
      <c r="B2" s="3484" t="s">
        <v>2476</v>
      </c>
      <c r="C2" s="3484"/>
      <c r="D2" s="2508" t="s">
        <v>2477</v>
      </c>
      <c r="E2" s="2508" t="s">
        <v>2478</v>
      </c>
      <c r="F2" s="2508" t="s">
        <v>2479</v>
      </c>
      <c r="G2" s="2508" t="s">
        <v>2480</v>
      </c>
      <c r="H2" s="2508" t="s">
        <v>2481</v>
      </c>
      <c r="I2" s="2509" t="s">
        <v>2482</v>
      </c>
    </row>
    <row r="3" spans="1:9">
      <c r="A3" s="3483"/>
      <c r="B3" s="3484" t="s">
        <v>2483</v>
      </c>
      <c r="C3" s="3484"/>
      <c r="D3" s="2510"/>
      <c r="E3" s="2508"/>
      <c r="F3" s="2511"/>
      <c r="G3" s="2511"/>
      <c r="H3" s="2512"/>
      <c r="I3" s="2513">
        <f>ROUND(D3*E3*F3*G3*H3/10000,0)</f>
        <v>0</v>
      </c>
    </row>
    <row r="4" spans="1:9">
      <c r="A4" s="3483"/>
      <c r="B4" s="3484" t="s">
        <v>2484</v>
      </c>
      <c r="C4" s="3484"/>
      <c r="D4" s="2510"/>
      <c r="E4" s="2508"/>
      <c r="F4" s="2511"/>
      <c r="G4" s="2511"/>
      <c r="H4" s="2512"/>
      <c r="I4" s="2513">
        <f t="shared" ref="I4:I9" si="0">ROUND(D4*E4*F4*G4*H4/10000,0)</f>
        <v>0</v>
      </c>
    </row>
    <row r="5" spans="1:9">
      <c r="A5" s="3483"/>
      <c r="B5" s="3484" t="s">
        <v>2485</v>
      </c>
      <c r="C5" s="3484"/>
      <c r="D5" s="2510"/>
      <c r="E5" s="2508"/>
      <c r="F5" s="2511"/>
      <c r="G5" s="2511"/>
      <c r="H5" s="2512"/>
      <c r="I5" s="2513">
        <f t="shared" si="0"/>
        <v>0</v>
      </c>
    </row>
    <row r="6" spans="1:9">
      <c r="A6" s="3483"/>
      <c r="B6" s="3484" t="s">
        <v>2486</v>
      </c>
      <c r="C6" s="3484"/>
      <c r="D6" s="2510"/>
      <c r="E6" s="2508"/>
      <c r="F6" s="2511"/>
      <c r="G6" s="2511"/>
      <c r="H6" s="2512"/>
      <c r="I6" s="2513">
        <f t="shared" si="0"/>
        <v>0</v>
      </c>
    </row>
    <row r="7" spans="1:9">
      <c r="A7" s="3483"/>
      <c r="B7" s="3484" t="s">
        <v>2487</v>
      </c>
      <c r="C7" s="3484"/>
      <c r="D7" s="2510"/>
      <c r="E7" s="2508"/>
      <c r="F7" s="2511"/>
      <c r="G7" s="2511"/>
      <c r="H7" s="2512"/>
      <c r="I7" s="2513">
        <f t="shared" si="0"/>
        <v>0</v>
      </c>
    </row>
    <row r="8" spans="1:9">
      <c r="A8" s="3483"/>
      <c r="B8" s="3484" t="s">
        <v>2488</v>
      </c>
      <c r="C8" s="3484"/>
      <c r="D8" s="2510"/>
      <c r="E8" s="2508"/>
      <c r="F8" s="2511"/>
      <c r="G8" s="2511"/>
      <c r="H8" s="2512"/>
      <c r="I8" s="2513">
        <f t="shared" si="0"/>
        <v>0</v>
      </c>
    </row>
    <row r="9" spans="1:9">
      <c r="A9" s="3483"/>
      <c r="B9" s="3484" t="s">
        <v>2489</v>
      </c>
      <c r="C9" s="3484"/>
      <c r="D9" s="2510"/>
      <c r="E9" s="2508"/>
      <c r="F9" s="2511"/>
      <c r="G9" s="2511"/>
      <c r="H9" s="2512"/>
      <c r="I9" s="2513">
        <f t="shared" si="0"/>
        <v>0</v>
      </c>
    </row>
    <row r="10" spans="1:9">
      <c r="A10" s="3483"/>
      <c r="B10" s="3485" t="s">
        <v>2490</v>
      </c>
      <c r="C10" s="3485"/>
      <c r="D10" s="2514">
        <v>527</v>
      </c>
      <c r="E10" s="2514" t="e">
        <f>ROUND(D1*10000/D10/H9,0)</f>
        <v>#DIV/0!</v>
      </c>
      <c r="F10" s="2515"/>
      <c r="G10" s="2515"/>
      <c r="H10" s="2516"/>
      <c r="I10" s="2517">
        <f>SUM(I3:I9)</f>
        <v>0</v>
      </c>
    </row>
    <row r="11" spans="1:9" ht="14.25">
      <c r="A11" s="3483" t="s">
        <v>2491</v>
      </c>
      <c r="B11" s="3484" t="s">
        <v>2492</v>
      </c>
      <c r="C11" s="3484"/>
      <c r="D11" s="2510" t="s">
        <v>2493</v>
      </c>
      <c r="E11" s="2510" t="s">
        <v>2494</v>
      </c>
      <c r="F11" s="2511" t="s">
        <v>2495</v>
      </c>
      <c r="G11" s="2511" t="s">
        <v>2496</v>
      </c>
      <c r="H11" s="2518" t="s">
        <v>2497</v>
      </c>
      <c r="I11" s="2509" t="s">
        <v>2498</v>
      </c>
    </row>
    <row r="12" spans="1:9">
      <c r="A12" s="3483"/>
      <c r="B12" s="3484" t="s">
        <v>2499</v>
      </c>
      <c r="C12" s="3484"/>
      <c r="D12" s="2510"/>
      <c r="E12" s="2510"/>
      <c r="F12" s="2511"/>
      <c r="G12" s="2512"/>
      <c r="H12" s="2519"/>
      <c r="I12" s="2509">
        <f>ROUND(D12*E12*F12*G12/10000,0)</f>
        <v>0</v>
      </c>
    </row>
    <row r="13" spans="1:9">
      <c r="A13" s="3483"/>
      <c r="B13" s="3484" t="s">
        <v>2500</v>
      </c>
      <c r="C13" s="3484"/>
      <c r="D13" s="2510"/>
      <c r="E13" s="2510"/>
      <c r="F13" s="2511"/>
      <c r="G13" s="2512"/>
      <c r="H13" s="2519"/>
      <c r="I13" s="2509">
        <f>ROUND(D13*E13*F13*G13/10000,0)</f>
        <v>0</v>
      </c>
    </row>
    <row r="14" spans="1:9">
      <c r="A14" s="3483"/>
      <c r="B14" s="3484" t="s">
        <v>2501</v>
      </c>
      <c r="C14" s="3484"/>
      <c r="D14" s="2510"/>
      <c r="E14" s="2510"/>
      <c r="F14" s="2511"/>
      <c r="G14" s="2512"/>
      <c r="H14" s="2519"/>
      <c r="I14" s="2509">
        <f>ROUND(D14*E14*F14*G14/10000,0)</f>
        <v>0</v>
      </c>
    </row>
    <row r="15" spans="1:9">
      <c r="A15" s="3483"/>
      <c r="B15" s="3485" t="s">
        <v>2490</v>
      </c>
      <c r="C15" s="3485"/>
      <c r="D15" s="2514"/>
      <c r="E15" s="2514">
        <f>SUM(E12:E14)</f>
        <v>0</v>
      </c>
      <c r="F15" s="2515"/>
      <c r="G15" s="2512"/>
      <c r="H15" s="2519"/>
      <c r="I15" s="2520">
        <f>SUM(I12:I14)</f>
        <v>0</v>
      </c>
    </row>
    <row r="16" spans="1:9" ht="24">
      <c r="A16" s="3483" t="s">
        <v>2502</v>
      </c>
      <c r="B16" s="3484" t="s">
        <v>2503</v>
      </c>
      <c r="C16" s="3484"/>
      <c r="D16" s="2510" t="s">
        <v>2504</v>
      </c>
      <c r="E16" s="2521" t="s">
        <v>2505</v>
      </c>
      <c r="F16" s="2511" t="s">
        <v>2506</v>
      </c>
      <c r="G16" s="2512" t="s">
        <v>2496</v>
      </c>
      <c r="H16" s="2518" t="s">
        <v>2497</v>
      </c>
      <c r="I16" s="2509" t="s">
        <v>2498</v>
      </c>
    </row>
    <row r="17" spans="1:9" ht="14.25">
      <c r="A17" s="3483"/>
      <c r="B17" s="3484" t="s">
        <v>2507</v>
      </c>
      <c r="C17" s="3484"/>
      <c r="D17" s="2510"/>
      <c r="E17" s="2510"/>
      <c r="F17" s="2511"/>
      <c r="G17" s="2512"/>
      <c r="H17" s="2522"/>
      <c r="I17" s="2523">
        <f>ROUND(D17*E17*F17*G17/10000,0)</f>
        <v>0</v>
      </c>
    </row>
    <row r="18" spans="1:9" ht="14.25">
      <c r="A18" s="3483"/>
      <c r="B18" s="3484" t="s">
        <v>2508</v>
      </c>
      <c r="C18" s="3484"/>
      <c r="D18" s="2510"/>
      <c r="E18" s="2510"/>
      <c r="F18" s="2511"/>
      <c r="G18" s="2512"/>
      <c r="H18" s="2522"/>
      <c r="I18" s="2523">
        <f>ROUND(D18*E18*F18*G18/10000,0)</f>
        <v>0</v>
      </c>
    </row>
    <row r="19" spans="1:9" ht="14.25">
      <c r="A19" s="3483"/>
      <c r="B19" s="3484" t="s">
        <v>2509</v>
      </c>
      <c r="C19" s="3484"/>
      <c r="D19" s="2510"/>
      <c r="E19" s="2510"/>
      <c r="F19" s="2511"/>
      <c r="G19" s="2512"/>
      <c r="H19" s="2522"/>
      <c r="I19" s="2523">
        <f>ROUND(D19*E19*F19*G19/10000,0)</f>
        <v>0</v>
      </c>
    </row>
    <row r="20" spans="1:9">
      <c r="A20" s="3483"/>
      <c r="B20" s="3485" t="s">
        <v>2490</v>
      </c>
      <c r="C20" s="3485"/>
      <c r="D20" s="2514">
        <f>SUM(D17:D19)</f>
        <v>0</v>
      </c>
      <c r="E20" s="2514"/>
      <c r="F20" s="2515"/>
      <c r="G20" s="2512"/>
      <c r="H20" s="2519"/>
      <c r="I20" s="2520">
        <f>SUM(I17:I19)</f>
        <v>0</v>
      </c>
    </row>
    <row r="21" spans="1:9">
      <c r="A21" s="3483" t="s">
        <v>2510</v>
      </c>
      <c r="B21" s="3486"/>
      <c r="C21" s="3486"/>
      <c r="D21" s="3486"/>
      <c r="E21" s="3486"/>
      <c r="F21" s="3486"/>
      <c r="G21" s="3486"/>
      <c r="H21" s="2524">
        <v>0.1</v>
      </c>
      <c r="I21" s="2517">
        <f>ROUND(I10*H21,0)</f>
        <v>0</v>
      </c>
    </row>
    <row r="22" spans="1:9" ht="14.25">
      <c r="A22" s="3487" t="s">
        <v>2511</v>
      </c>
      <c r="B22" s="3488"/>
      <c r="C22" s="3489"/>
      <c r="D22" s="2525" t="s">
        <v>2512</v>
      </c>
      <c r="E22" s="2525" t="s">
        <v>2513</v>
      </c>
      <c r="F22" s="2526" t="s">
        <v>2514</v>
      </c>
      <c r="G22" s="2526" t="s">
        <v>2515</v>
      </c>
      <c r="H22" s="2518" t="s">
        <v>2516</v>
      </c>
      <c r="I22" s="2509" t="s">
        <v>2517</v>
      </c>
    </row>
    <row r="23" spans="1:9" ht="14.25" thickBot="1">
      <c r="A23" s="3490"/>
      <c r="B23" s="3491"/>
      <c r="C23" s="3492"/>
      <c r="D23" s="2527"/>
      <c r="E23" s="2527"/>
      <c r="F23" s="2527"/>
      <c r="G23" s="2528"/>
      <c r="H23" s="2529"/>
      <c r="I23" s="2530">
        <f>ROUND(E23*D23*F23*(1-G23)/10000,0)</f>
        <v>0</v>
      </c>
    </row>
    <row r="26" spans="1:9">
      <c r="A26" s="2531" t="s">
        <v>2518</v>
      </c>
      <c r="B26" s="2531"/>
      <c r="C26" s="2531"/>
      <c r="D26" s="2531"/>
      <c r="E26" s="3480">
        <f>C27-C30-C31-C32</f>
        <v>0</v>
      </c>
      <c r="F26" s="3480"/>
      <c r="G26" s="3480"/>
      <c r="H26" s="3045" t="s">
        <v>2846</v>
      </c>
    </row>
    <row r="27" spans="1:9">
      <c r="A27" s="2532">
        <v>1</v>
      </c>
      <c r="B27" s="2533" t="s">
        <v>2519</v>
      </c>
      <c r="C27" s="2533"/>
      <c r="D27" s="2533"/>
      <c r="E27" s="3481"/>
      <c r="F27" s="3481"/>
      <c r="G27" s="3481"/>
    </row>
    <row r="28" spans="1:9">
      <c r="A28" s="2534" t="s">
        <v>2520</v>
      </c>
      <c r="B28" s="2533" t="s">
        <v>2521</v>
      </c>
      <c r="C28" s="2533"/>
      <c r="D28" s="2533"/>
      <c r="E28" s="3481"/>
      <c r="F28" s="3481"/>
      <c r="G28" s="3481"/>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82"/>
      <c r="F32" s="3482"/>
      <c r="G32" s="3482"/>
    </row>
    <row r="33" spans="1:7" hidden="1">
      <c r="A33" s="3477" t="s">
        <v>2529</v>
      </c>
      <c r="B33" s="3478"/>
      <c r="C33" s="3478"/>
      <c r="D33" s="3479"/>
      <c r="E33" s="3480"/>
      <c r="F33" s="3480"/>
      <c r="G33" s="3480"/>
    </row>
    <row r="34" spans="1:7" hidden="1">
      <c r="A34" s="2536">
        <v>1</v>
      </c>
      <c r="B34" s="2533" t="s">
        <v>2530</v>
      </c>
      <c r="C34" s="2533"/>
      <c r="D34" s="2533"/>
      <c r="E34" s="3481"/>
      <c r="F34" s="3481"/>
      <c r="G34" s="3481"/>
    </row>
    <row r="35" spans="1:7" hidden="1">
      <c r="A35" s="2536">
        <v>2</v>
      </c>
      <c r="B35" s="2533" t="s">
        <v>2531</v>
      </c>
      <c r="C35" s="2533"/>
      <c r="D35" s="2533"/>
      <c r="E35" s="3481"/>
      <c r="F35" s="3481"/>
      <c r="G35" s="3481"/>
    </row>
    <row r="36" spans="1:7" hidden="1">
      <c r="A36" s="2536">
        <v>3</v>
      </c>
      <c r="B36" s="2533" t="s">
        <v>2532</v>
      </c>
      <c r="C36" s="2533"/>
      <c r="D36" s="2533"/>
      <c r="E36" s="3481"/>
      <c r="F36" s="3481"/>
      <c r="G36" s="3481"/>
    </row>
    <row r="37" spans="1:7" hidden="1">
      <c r="A37" s="2536">
        <v>4</v>
      </c>
      <c r="B37" s="2533" t="s">
        <v>2533</v>
      </c>
      <c r="C37" s="2533"/>
      <c r="D37" s="2533"/>
      <c r="E37" s="3481"/>
      <c r="F37" s="3481"/>
      <c r="G37" s="3481"/>
    </row>
    <row r="38" spans="1:7" hidden="1">
      <c r="A38" s="3477" t="s">
        <v>2534</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603</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1686</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604</v>
      </c>
      <c r="C6" s="744" t="s">
        <v>605</v>
      </c>
      <c r="D6" s="744" t="s">
        <v>606</v>
      </c>
      <c r="E6" s="745" t="s">
        <v>607</v>
      </c>
      <c r="F6" s="745" t="s">
        <v>608</v>
      </c>
      <c r="G6" s="746"/>
    </row>
    <row r="7" spans="1:25" s="2184" customFormat="1" ht="13.5" customHeight="1">
      <c r="A7" s="2470">
        <v>1</v>
      </c>
      <c r="B7" s="747" t="s">
        <v>609</v>
      </c>
      <c r="C7" s="748">
        <f>C8+C9</f>
        <v>0</v>
      </c>
      <c r="D7" s="748"/>
      <c r="E7" s="749"/>
      <c r="F7" s="749"/>
      <c r="G7" s="2480"/>
    </row>
    <row r="8" spans="1:25" s="2184" customFormat="1" ht="13.5" customHeight="1">
      <c r="A8" s="2470" t="s">
        <v>2443</v>
      </c>
      <c r="B8" s="2473" t="s">
        <v>2445</v>
      </c>
      <c r="C8" s="2474"/>
      <c r="D8" s="748"/>
      <c r="E8" s="749"/>
      <c r="F8" s="749"/>
      <c r="G8" s="750"/>
    </row>
    <row r="9" spans="1:25" s="2184" customFormat="1" ht="13.5" customHeight="1">
      <c r="A9" s="2470" t="s">
        <v>2444</v>
      </c>
      <c r="B9" s="2473" t="s">
        <v>2446</v>
      </c>
      <c r="C9" s="2474"/>
      <c r="D9" s="748"/>
      <c r="E9" s="749"/>
      <c r="F9" s="749"/>
      <c r="G9" s="750"/>
    </row>
    <row r="10" spans="1:25" s="2184" customFormat="1" ht="36">
      <c r="A10" s="2470">
        <v>2</v>
      </c>
      <c r="B10" s="747" t="s">
        <v>613</v>
      </c>
      <c r="C10" s="748">
        <f>C11+C14+C15</f>
        <v>0</v>
      </c>
      <c r="D10" s="759">
        <f>'数据-汇总表'!E3</f>
        <v>9439</v>
      </c>
      <c r="E10" s="748">
        <f>'数据-取费表'!B31</f>
        <v>200</v>
      </c>
      <c r="F10" s="760"/>
      <c r="G10" s="758" t="s">
        <v>614</v>
      </c>
    </row>
    <row r="11" spans="1:25" s="2184" customFormat="1" ht="13.5" customHeight="1">
      <c r="A11" s="2470" t="s">
        <v>2443</v>
      </c>
      <c r="B11" s="751" t="s">
        <v>610</v>
      </c>
      <c r="C11" s="752">
        <f>'数据-取费表'!B29</f>
        <v>0</v>
      </c>
      <c r="D11" s="753"/>
      <c r="E11" s="752"/>
      <c r="F11" s="754"/>
      <c r="G11" s="2479" t="s">
        <v>2454</v>
      </c>
    </row>
    <row r="12" spans="1:25" s="2184" customFormat="1" ht="13.5" customHeight="1">
      <c r="A12" s="2477" t="s">
        <v>2451</v>
      </c>
      <c r="B12" s="755" t="s">
        <v>611</v>
      </c>
      <c r="C12" s="756">
        <f>ROUND(D12*E12/10000,0)</f>
        <v>118</v>
      </c>
      <c r="D12" s="757">
        <f>'数据-汇总表'!E5</f>
        <v>6222</v>
      </c>
      <c r="E12" s="756">
        <f>'数据-取费表'!B27</f>
        <v>189</v>
      </c>
      <c r="F12" s="754"/>
      <c r="G12" s="758"/>
    </row>
    <row r="13" spans="1:25" s="2184" customFormat="1" ht="13.5" customHeight="1">
      <c r="A13" s="2477" t="s">
        <v>2450</v>
      </c>
      <c r="B13" s="755" t="s">
        <v>612</v>
      </c>
      <c r="C13" s="756">
        <f>ROUND(D13*E13/10000,0)</f>
        <v>61</v>
      </c>
      <c r="D13" s="757">
        <f>'数据-汇总表'!E6</f>
        <v>3217</v>
      </c>
      <c r="E13" s="756">
        <f>'数据-取费表'!B28</f>
        <v>189</v>
      </c>
      <c r="F13" s="754"/>
      <c r="G13" s="758"/>
    </row>
    <row r="14" spans="1:25" s="2184" customFormat="1" ht="13.5" customHeight="1">
      <c r="A14" s="2470" t="s">
        <v>2444</v>
      </c>
      <c r="B14" s="2476" t="s">
        <v>2447</v>
      </c>
      <c r="C14" s="2474"/>
      <c r="D14" s="757"/>
      <c r="E14" s="756"/>
      <c r="F14" s="2475"/>
      <c r="G14" s="2478" t="s">
        <v>2452</v>
      </c>
    </row>
    <row r="15" spans="1:25" s="2184" customFormat="1" ht="13.5" customHeight="1">
      <c r="A15" s="2470" t="s">
        <v>2449</v>
      </c>
      <c r="B15" s="2476" t="s">
        <v>2448</v>
      </c>
      <c r="C15" s="2474"/>
      <c r="D15" s="757"/>
      <c r="E15" s="756"/>
      <c r="F15" s="2475"/>
      <c r="G15" s="2478" t="s">
        <v>2453</v>
      </c>
    </row>
    <row r="16" spans="1:25" s="2185" customFormat="1" ht="48">
      <c r="A16" s="2470">
        <v>3</v>
      </c>
      <c r="B16" s="747" t="s">
        <v>615</v>
      </c>
      <c r="C16" s="2474"/>
      <c r="D16" s="759"/>
      <c r="E16" s="748"/>
      <c r="F16" s="760"/>
      <c r="G16" s="758"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616</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617</v>
      </c>
      <c r="C18" s="748">
        <f>ROUND((C7+C10+C16)*F18,0)</f>
        <v>0</v>
      </c>
      <c r="D18" s="761"/>
      <c r="E18" s="762"/>
      <c r="F18" s="760">
        <f>'数据-取费表'!Q16</f>
        <v>0.08</v>
      </c>
      <c r="G18" s="764"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619</v>
      </c>
      <c r="C19" s="748">
        <f ca="1">C7+C10+C16+C17+C18</f>
        <v>0</v>
      </c>
      <c r="D19" s="759"/>
      <c r="E19" s="748"/>
      <c r="F19" s="760"/>
      <c r="G19" s="764"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621</v>
      </c>
      <c r="C20" s="748">
        <f ca="1">ROUND(C19*F20,0)</f>
        <v>0</v>
      </c>
      <c r="D20" s="759"/>
      <c r="E20" s="748"/>
      <c r="F20" s="1348"/>
      <c r="G20" s="764"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623</v>
      </c>
      <c r="C21" s="748">
        <f ca="1">C19+C20</f>
        <v>0</v>
      </c>
      <c r="D21" s="759"/>
      <c r="E21" s="748"/>
      <c r="F21" s="760"/>
      <c r="G21" s="764"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625</v>
      </c>
      <c r="C22" s="748">
        <f ca="1">ROUND(C21*F22,0)</f>
        <v>0</v>
      </c>
      <c r="D22" s="759"/>
      <c r="E22" s="748"/>
      <c r="F22" s="765">
        <f>'数据-取费表'!AP16</f>
        <v>0.83799999999999997</v>
      </c>
      <c r="G22" s="764"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627</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1"/>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521</v>
      </c>
      <c r="B4" s="512"/>
      <c r="C4" s="3393" t="s">
        <v>522</v>
      </c>
      <c r="D4" s="3394"/>
      <c r="E4" s="3417" t="s">
        <v>523</v>
      </c>
      <c r="F4" s="3418"/>
      <c r="G4" s="3393" t="s">
        <v>524</v>
      </c>
      <c r="H4" s="3394"/>
      <c r="I4" s="3393" t="s">
        <v>525</v>
      </c>
      <c r="J4" s="3394"/>
      <c r="K4" s="513" t="s">
        <v>526</v>
      </c>
      <c r="L4" s="2134"/>
      <c r="M4" s="2135"/>
      <c r="N4" s="2135"/>
      <c r="O4" s="2135"/>
      <c r="P4" s="3395" t="s">
        <v>527</v>
      </c>
      <c r="Q4" s="3396"/>
      <c r="R4" s="3381" t="s">
        <v>523</v>
      </c>
      <c r="S4" s="3382"/>
      <c r="T4" s="3381" t="s">
        <v>524</v>
      </c>
      <c r="U4" s="3382"/>
      <c r="V4" s="3401" t="s">
        <v>525</v>
      </c>
      <c r="W4" s="3401"/>
      <c r="X4" s="1567"/>
      <c r="Y4" s="3381" t="s">
        <v>527</v>
      </c>
      <c r="Z4" s="3382"/>
      <c r="AA4" s="3376" t="s">
        <v>523</v>
      </c>
      <c r="AB4" s="3401" t="s">
        <v>524</v>
      </c>
      <c r="AC4" s="3376" t="s">
        <v>525</v>
      </c>
    </row>
    <row r="5" spans="1:29" ht="15">
      <c r="A5" s="514"/>
      <c r="B5" s="515"/>
      <c r="C5" s="3421" t="s">
        <v>2929</v>
      </c>
      <c r="D5" s="3422"/>
      <c r="E5" s="3419" t="s">
        <v>2930</v>
      </c>
      <c r="F5" s="3420"/>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401"/>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401"/>
      <c r="AC6" s="3378"/>
    </row>
    <row r="7" spans="1:29" s="1219" customFormat="1" ht="15.75" thickBot="1">
      <c r="A7" s="2913"/>
      <c r="B7" s="2920" t="s">
        <v>529</v>
      </c>
      <c r="C7" s="518">
        <f>'数据-取费表'!B2</f>
        <v>43316</v>
      </c>
      <c r="D7" s="519">
        <v>100</v>
      </c>
      <c r="E7" s="520"/>
      <c r="F7" s="521">
        <f>SUMIF(58:58,YEAR(E7)&amp;"-"&amp;MONTH(E7),59:59)</f>
        <v>0</v>
      </c>
      <c r="G7" s="520"/>
      <c r="H7" s="519">
        <f>SUMIF(58:58,YEAR(G7)&amp;"-"&amp;MONTH(G7),59:59)</f>
        <v>0</v>
      </c>
      <c r="I7" s="520"/>
      <c r="J7" s="519">
        <f>SUMIF(58:58,YEAR(I7)&amp;"-"&amp;MONTH(I7),59:59)</f>
        <v>0</v>
      </c>
      <c r="K7" s="523"/>
      <c r="L7" s="2136"/>
      <c r="M7" s="2137"/>
      <c r="N7" s="2137"/>
      <c r="O7" s="2137"/>
      <c r="P7" s="3379"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46" si="3">D8/F8</f>
        <v>#DIV/0!</v>
      </c>
      <c r="AB8" s="1571" t="e">
        <f t="shared" ref="AB8:AB46" si="4">D8/H8</f>
        <v>#DIV/0!</v>
      </c>
      <c r="AC8" s="1571" t="e">
        <f t="shared" ref="AC8:AC46" si="5">D8/J8</f>
        <v>#DIV/0!</v>
      </c>
    </row>
    <row r="9" spans="1:29" s="1219" customFormat="1" ht="15">
      <c r="A9" s="2915"/>
      <c r="B9" s="2922" t="s">
        <v>2759</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387"/>
      <c r="Q11" s="1150" t="str">
        <f t="shared" si="6"/>
        <v>容积率</v>
      </c>
      <c r="R11" s="1568" t="s">
        <v>8</v>
      </c>
      <c r="S11" s="1569" t="e">
        <f t="shared" si="0"/>
        <v>#N/A</v>
      </c>
      <c r="T11" s="1568" t="s">
        <v>8</v>
      </c>
      <c r="U11" s="1569" t="e">
        <f t="shared" si="1"/>
        <v>#N/A</v>
      </c>
      <c r="V11" s="1568" t="s">
        <v>8</v>
      </c>
      <c r="W11" s="1569" t="e">
        <f t="shared" si="2"/>
        <v>#N/A</v>
      </c>
      <c r="X11" s="1570"/>
      <c r="Y11" s="3344"/>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 t="shared" si="3"/>
        <v>1</v>
      </c>
      <c r="AB14" s="1571">
        <f t="shared" si="4"/>
        <v>1</v>
      </c>
      <c r="AC14" s="1571">
        <f t="shared" si="5"/>
        <v>1</v>
      </c>
    </row>
    <row r="15" spans="1:29" ht="15">
      <c r="A15" s="2911" t="s">
        <v>2757</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389" t="s">
        <v>540</v>
      </c>
      <c r="Q15" s="1572" t="str">
        <f t="shared" si="6"/>
        <v>商业繁华度</v>
      </c>
      <c r="R15" s="1573" t="s">
        <v>8</v>
      </c>
      <c r="S15" s="1574">
        <f t="shared" si="0"/>
        <v>100</v>
      </c>
      <c r="T15" s="1573" t="s">
        <v>8</v>
      </c>
      <c r="U15" s="1574">
        <f t="shared" si="1"/>
        <v>100</v>
      </c>
      <c r="V15" s="1573" t="s">
        <v>8</v>
      </c>
      <c r="W15" s="1574">
        <f t="shared" si="2"/>
        <v>100</v>
      </c>
      <c r="X15" s="1567"/>
      <c r="Y15" s="3389"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90"/>
      <c r="Q16" s="1572"/>
      <c r="R16" s="1573"/>
      <c r="S16" s="1574"/>
      <c r="T16" s="1573"/>
      <c r="U16" s="1574"/>
      <c r="V16" s="1573"/>
      <c r="W16" s="1574"/>
      <c r="X16" s="1567"/>
      <c r="Y16" s="3390"/>
      <c r="Z16" s="1575"/>
      <c r="AA16" s="1576">
        <v>1</v>
      </c>
      <c r="AB16" s="1576">
        <v>1</v>
      </c>
      <c r="AC16" s="1576">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90"/>
      <c r="Q18" s="1572"/>
      <c r="R18" s="1573"/>
      <c r="S18" s="1574"/>
      <c r="T18" s="1573"/>
      <c r="U18" s="1574"/>
      <c r="V18" s="1573"/>
      <c r="W18" s="1574"/>
      <c r="X18" s="1567"/>
      <c r="Y18" s="3390"/>
      <c r="Z18" s="1575"/>
      <c r="AA18" s="1576">
        <v>1</v>
      </c>
      <c r="AB18" s="1576">
        <v>1</v>
      </c>
      <c r="AC18" s="1576">
        <v>1</v>
      </c>
    </row>
    <row r="19" spans="1:29" ht="15">
      <c r="A19" s="531"/>
      <c r="B19" s="2601" t="s">
        <v>2549</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390"/>
      <c r="Q20" s="1572"/>
      <c r="R20" s="1573"/>
      <c r="S20" s="1574"/>
      <c r="T20" s="1573"/>
      <c r="U20" s="1574"/>
      <c r="V20" s="1573"/>
      <c r="W20" s="1574"/>
      <c r="X20" s="1567"/>
      <c r="Y20" s="3390"/>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390"/>
      <c r="Q22" s="2580"/>
      <c r="R22" s="1573"/>
      <c r="S22" s="1574"/>
      <c r="T22" s="1573"/>
      <c r="U22" s="1574"/>
      <c r="V22" s="1573"/>
      <c r="W22" s="1574"/>
      <c r="X22" s="2582"/>
      <c r="Y22" s="3390"/>
      <c r="Z22" s="2581"/>
      <c r="AA22" s="1576">
        <v>1</v>
      </c>
      <c r="AB22" s="1576">
        <v>1</v>
      </c>
      <c r="AC22" s="1576">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390"/>
      <c r="Q23" s="1572" t="str">
        <f>B23</f>
        <v>自然及人文环境</v>
      </c>
      <c r="R23" s="1573" t="s">
        <v>8</v>
      </c>
      <c r="S23" s="1574">
        <f>F23</f>
        <v>100</v>
      </c>
      <c r="T23" s="1573" t="s">
        <v>8</v>
      </c>
      <c r="U23" s="1574">
        <f>H23</f>
        <v>100</v>
      </c>
      <c r="V23" s="1573" t="s">
        <v>8</v>
      </c>
      <c r="W23" s="1574">
        <f>J23</f>
        <v>100</v>
      </c>
      <c r="X23" s="1567"/>
      <c r="Y23" s="3390"/>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390"/>
      <c r="Q27" s="1150" t="str">
        <f t="shared" si="11"/>
        <v>人流量</v>
      </c>
      <c r="R27" s="1568" t="s">
        <v>8</v>
      </c>
      <c r="S27" s="1569">
        <f>F27</f>
        <v>100</v>
      </c>
      <c r="T27" s="1568" t="s">
        <v>8</v>
      </c>
      <c r="U27" s="1569">
        <f>H27</f>
        <v>100</v>
      </c>
      <c r="V27" s="1568" t="s">
        <v>8</v>
      </c>
      <c r="W27" s="1569">
        <f>J27</f>
        <v>100</v>
      </c>
      <c r="X27" s="1570"/>
      <c r="Y27" s="3390"/>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390"/>
      <c r="Q29" s="1572">
        <f t="shared" si="11"/>
        <v>111</v>
      </c>
      <c r="R29" s="1573" t="s">
        <v>8</v>
      </c>
      <c r="S29" s="1574">
        <f t="shared" si="12"/>
        <v>100</v>
      </c>
      <c r="T29" s="1573" t="s">
        <v>8</v>
      </c>
      <c r="U29" s="1574">
        <f t="shared" si="13"/>
        <v>100</v>
      </c>
      <c r="V29" s="1573" t="s">
        <v>8</v>
      </c>
      <c r="W29" s="1574">
        <f t="shared" si="14"/>
        <v>100</v>
      </c>
      <c r="X29" s="1567"/>
      <c r="Y29" s="3390"/>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
      <c r="A32" s="2908" t="s">
        <v>2758</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391" t="s">
        <v>550</v>
      </c>
      <c r="Q32" s="1572" t="str">
        <f t="shared" si="11"/>
        <v>商业类型</v>
      </c>
      <c r="R32" s="1573" t="s">
        <v>8</v>
      </c>
      <c r="S32" s="1574">
        <f t="shared" si="12"/>
        <v>100</v>
      </c>
      <c r="T32" s="1573" t="s">
        <v>8</v>
      </c>
      <c r="U32" s="1574">
        <f t="shared" si="13"/>
        <v>100</v>
      </c>
      <c r="V32" s="1573" t="s">
        <v>8</v>
      </c>
      <c r="W32" s="1574">
        <f t="shared" si="14"/>
        <v>100</v>
      </c>
      <c r="X32" s="1567"/>
      <c r="Y32" s="3392"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392"/>
      <c r="Q33" s="1605" t="str">
        <f t="shared" si="11"/>
        <v>项目建筑规模</v>
      </c>
      <c r="R33" s="1577" t="s">
        <v>8</v>
      </c>
      <c r="S33" s="1578" t="e">
        <f t="shared" si="12"/>
        <v>#N/A</v>
      </c>
      <c r="T33" s="1577" t="s">
        <v>8</v>
      </c>
      <c r="U33" s="1578" t="e">
        <f t="shared" si="13"/>
        <v>#N/A</v>
      </c>
      <c r="V33" s="1577" t="s">
        <v>8</v>
      </c>
      <c r="W33" s="1578" t="e">
        <f t="shared" si="14"/>
        <v>#N/A</v>
      </c>
      <c r="X33" s="1579"/>
      <c r="Y33" s="3392"/>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392"/>
      <c r="Q36" s="1572" t="str">
        <f t="shared" si="11"/>
        <v>成新度</v>
      </c>
      <c r="R36" s="1573" t="s">
        <v>8</v>
      </c>
      <c r="S36" s="1574" t="e">
        <f t="shared" si="12"/>
        <v>#N/A</v>
      </c>
      <c r="T36" s="1573" t="s">
        <v>8</v>
      </c>
      <c r="U36" s="1574" t="e">
        <f t="shared" si="13"/>
        <v>#N/A</v>
      </c>
      <c r="V36" s="1573" t="s">
        <v>8</v>
      </c>
      <c r="W36" s="1574" t="e">
        <f t="shared" si="14"/>
        <v>#N/A</v>
      </c>
      <c r="X36" s="1567"/>
      <c r="Y36" s="3392"/>
      <c r="Z36" s="1575" t="str">
        <f t="shared" si="15"/>
        <v>成新度</v>
      </c>
      <c r="AA36" s="1576" t="e">
        <f t="shared" si="3"/>
        <v>#N/A</v>
      </c>
      <c r="AB36" s="1576" t="e">
        <f t="shared" si="4"/>
        <v>#N/A</v>
      </c>
      <c r="AC36" s="1576" t="e">
        <f t="shared" si="5"/>
        <v>#N/A</v>
      </c>
    </row>
    <row r="37" spans="1:29" s="1219" customFormat="1" ht="15">
      <c r="A37" s="599"/>
      <c r="B37" s="1896"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392"/>
      <c r="Q37" s="1150" t="str">
        <f t="shared" si="11"/>
        <v>市政基础设施</v>
      </c>
      <c r="R37" s="1568" t="s">
        <v>8</v>
      </c>
      <c r="S37" s="1569">
        <f t="shared" si="12"/>
        <v>100</v>
      </c>
      <c r="T37" s="1568" t="s">
        <v>8</v>
      </c>
      <c r="U37" s="1569">
        <f t="shared" si="13"/>
        <v>100</v>
      </c>
      <c r="V37" s="1568" t="s">
        <v>8</v>
      </c>
      <c r="W37" s="1569">
        <f t="shared" si="14"/>
        <v>100</v>
      </c>
      <c r="X37" s="1570"/>
      <c r="Y37" s="3392"/>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392" t="s">
        <v>766</v>
      </c>
      <c r="Q38" s="1572" t="str">
        <f t="shared" si="11"/>
        <v>业态</v>
      </c>
      <c r="R38" s="1573" t="s">
        <v>8</v>
      </c>
      <c r="S38" s="1574">
        <f t="shared" si="12"/>
        <v>100</v>
      </c>
      <c r="T38" s="1573" t="s">
        <v>8</v>
      </c>
      <c r="U38" s="1574">
        <f t="shared" si="13"/>
        <v>100</v>
      </c>
      <c r="V38" s="1573" t="s">
        <v>8</v>
      </c>
      <c r="W38" s="1574">
        <f t="shared" si="14"/>
        <v>100</v>
      </c>
      <c r="X38" s="1567"/>
      <c r="Y38" s="3392"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392"/>
      <c r="Q42" s="1572" t="str">
        <f t="shared" si="11"/>
        <v>内部装修</v>
      </c>
      <c r="R42" s="1573" t="s">
        <v>8</v>
      </c>
      <c r="S42" s="1574">
        <f t="shared" si="12"/>
        <v>100</v>
      </c>
      <c r="T42" s="1573" t="s">
        <v>8</v>
      </c>
      <c r="U42" s="1574">
        <f t="shared" si="13"/>
        <v>100</v>
      </c>
      <c r="V42" s="1573" t="s">
        <v>8</v>
      </c>
      <c r="W42" s="1574">
        <f t="shared" si="14"/>
        <v>100</v>
      </c>
      <c r="X42" s="1567"/>
      <c r="Y42" s="3392"/>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392"/>
      <c r="Q44" s="1150">
        <f t="shared" si="11"/>
        <v>111</v>
      </c>
      <c r="R44" s="1568" t="s">
        <v>8</v>
      </c>
      <c r="S44" s="1569">
        <f t="shared" si="12"/>
        <v>100</v>
      </c>
      <c r="T44" s="1568" t="s">
        <v>8</v>
      </c>
      <c r="U44" s="1569">
        <f t="shared" si="13"/>
        <v>100</v>
      </c>
      <c r="V44" s="1568" t="s">
        <v>8</v>
      </c>
      <c r="W44" s="1569">
        <f t="shared" si="14"/>
        <v>100</v>
      </c>
      <c r="X44" s="1570"/>
      <c r="Y44" s="3392"/>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392"/>
      <c r="Q45" s="1572">
        <f t="shared" si="11"/>
        <v>111</v>
      </c>
      <c r="R45" s="1573" t="s">
        <v>8</v>
      </c>
      <c r="S45" s="1574">
        <f t="shared" si="12"/>
        <v>100</v>
      </c>
      <c r="T45" s="1573" t="s">
        <v>8</v>
      </c>
      <c r="U45" s="1574">
        <f t="shared" si="13"/>
        <v>100</v>
      </c>
      <c r="V45" s="1573" t="s">
        <v>8</v>
      </c>
      <c r="W45" s="1574">
        <f t="shared" si="14"/>
        <v>100</v>
      </c>
      <c r="X45" s="1567"/>
      <c r="Y45" s="3392"/>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5">
      <c r="A47" s="606" t="s">
        <v>736</v>
      </c>
      <c r="B47" s="886"/>
      <c r="C47" s="2628" t="s">
        <v>1</v>
      </c>
      <c r="D47" s="2629"/>
      <c r="E47" s="2630"/>
      <c r="F47" s="2631"/>
      <c r="G47" s="2632"/>
      <c r="H47" s="2633"/>
      <c r="I47" s="2630"/>
      <c r="J47" s="2633"/>
      <c r="K47" s="1611"/>
      <c r="L47" s="2145"/>
      <c r="M47" s="2146"/>
      <c r="N47" s="2135"/>
      <c r="O47" s="2146"/>
      <c r="P47" s="3387" t="str">
        <f>A47</f>
        <v>成交单价（元/平方米）</v>
      </c>
      <c r="Q47" s="3387"/>
      <c r="R47" s="3473">
        <f>E47</f>
        <v>0</v>
      </c>
      <c r="S47" s="3473"/>
      <c r="T47" s="3473">
        <f>G47</f>
        <v>0</v>
      </c>
      <c r="U47" s="3473"/>
      <c r="V47" s="3473">
        <f>I47</f>
        <v>0</v>
      </c>
      <c r="W47" s="3473"/>
      <c r="X47" s="1559"/>
      <c r="Y47" s="1581"/>
      <c r="Z47" s="1559"/>
      <c r="AA47" s="1559"/>
      <c r="AB47" s="1559"/>
      <c r="AC47" s="1559"/>
    </row>
    <row r="48" spans="1:29" ht="15.75" thickBot="1">
      <c r="A48" s="614" t="s">
        <v>2763</v>
      </c>
      <c r="B48" s="887"/>
      <c r="C48" s="2634" t="e">
        <f>R49</f>
        <v>#DIV/0!</v>
      </c>
      <c r="D48" s="2635"/>
      <c r="E48" s="2636" t="e">
        <f>R48</f>
        <v>#DIV/0!</v>
      </c>
      <c r="F48" s="2636"/>
      <c r="G48" s="2634" t="e">
        <f>T48</f>
        <v>#DIV/0!</v>
      </c>
      <c r="H48" s="2635"/>
      <c r="I48" s="2636" t="e">
        <f>V48</f>
        <v>#DIV/0!</v>
      </c>
      <c r="J48" s="2635"/>
      <c r="K48" s="1612"/>
      <c r="L48" s="2145"/>
      <c r="M48" s="2146"/>
      <c r="N48" s="2135"/>
      <c r="O48" s="2146"/>
      <c r="P48" s="3387" t="str">
        <f>A48</f>
        <v>比较价格（元/平方米）</v>
      </c>
      <c r="Q48" s="3387"/>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2935</v>
      </c>
      <c r="B49" s="621"/>
      <c r="C49" s="2637" t="e">
        <f>R49</f>
        <v>#DIV/0!</v>
      </c>
      <c r="D49" s="2637"/>
      <c r="E49" s="2637"/>
      <c r="F49" s="2637"/>
      <c r="G49" s="2637"/>
      <c r="H49" s="2637"/>
      <c r="I49" s="2637"/>
      <c r="J49" s="2637"/>
      <c r="K49" s="1613"/>
      <c r="L49" s="2145"/>
      <c r="M49" s="2146"/>
      <c r="N49" s="2135"/>
      <c r="O49" s="2146"/>
      <c r="P49" s="3408" t="str">
        <f>A49</f>
        <v>估价对象XX用房的比较价格（楼面单价，元/平方米）</v>
      </c>
      <c r="Q49" s="3409"/>
      <c r="R49" s="3472" t="e">
        <f>IF(F1="售价",ROUND(AVERAGE(R48:V48),0),ROUND(AVERAGE(R48:V48),1))</f>
        <v>#DIV/0!</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772</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2559</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774</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775</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776</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8"/>
      <c r="G1" s="1601" t="s">
        <v>721</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521</v>
      </c>
      <c r="B4" s="512"/>
      <c r="C4" s="3393" t="s">
        <v>522</v>
      </c>
      <c r="D4" s="3394"/>
      <c r="E4" s="3417" t="s">
        <v>523</v>
      </c>
      <c r="F4" s="3418"/>
      <c r="G4" s="3393" t="s">
        <v>524</v>
      </c>
      <c r="H4" s="3394"/>
      <c r="I4" s="3393" t="s">
        <v>525</v>
      </c>
      <c r="J4" s="3394"/>
      <c r="K4" s="513" t="s">
        <v>526</v>
      </c>
      <c r="L4" s="2134"/>
      <c r="M4" s="2135"/>
      <c r="N4" s="2135"/>
      <c r="O4" s="2135"/>
      <c r="P4" s="3498" t="s">
        <v>527</v>
      </c>
      <c r="Q4" s="3396"/>
      <c r="R4" s="3381" t="s">
        <v>523</v>
      </c>
      <c r="S4" s="3382"/>
      <c r="T4" s="3381" t="s">
        <v>524</v>
      </c>
      <c r="U4" s="3382"/>
      <c r="V4" s="3401" t="s">
        <v>525</v>
      </c>
      <c r="W4" s="3401"/>
      <c r="X4" s="1567"/>
      <c r="Y4" s="3381" t="s">
        <v>527</v>
      </c>
      <c r="Z4" s="3382"/>
      <c r="AA4" s="3376" t="s">
        <v>523</v>
      </c>
      <c r="AB4" s="3376" t="s">
        <v>524</v>
      </c>
      <c r="AC4" s="3376" t="s">
        <v>525</v>
      </c>
    </row>
    <row r="5" spans="1:29" ht="15">
      <c r="A5" s="514"/>
      <c r="B5" s="515"/>
      <c r="C5" s="3421" t="s">
        <v>2929</v>
      </c>
      <c r="D5" s="3422"/>
      <c r="E5" s="3419" t="s">
        <v>2930</v>
      </c>
      <c r="F5" s="3420"/>
      <c r="G5" s="3421" t="s">
        <v>2931</v>
      </c>
      <c r="H5" s="3422"/>
      <c r="I5" s="3421" t="s">
        <v>2932</v>
      </c>
      <c r="J5" s="3422"/>
      <c r="K5" s="513"/>
      <c r="L5" s="2134"/>
      <c r="M5" s="2135"/>
      <c r="N5" s="2135"/>
      <c r="O5" s="2135"/>
      <c r="P5" s="3499"/>
      <c r="Q5" s="3398"/>
      <c r="R5" s="3383"/>
      <c r="S5" s="3384"/>
      <c r="T5" s="3383"/>
      <c r="U5" s="3384"/>
      <c r="V5" s="3401"/>
      <c r="W5" s="3401"/>
      <c r="X5" s="1567"/>
      <c r="Y5" s="3383"/>
      <c r="Z5" s="3384"/>
      <c r="AA5" s="3377"/>
      <c r="AB5" s="3377"/>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500"/>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SUMIF(59:59,YEAR(E7)&amp;"-"&amp;MONTH(E7),60:60)</f>
        <v>0</v>
      </c>
      <c r="G7" s="520"/>
      <c r="H7" s="519">
        <f>SUMIF(59:59,YEAR(G7)&amp;"-"&amp;MONTH(G7),60:60)</f>
        <v>0</v>
      </c>
      <c r="I7" s="520"/>
      <c r="J7" s="519">
        <f>SUMIF(59:59,YEAR(I7)&amp;"-"&amp;MONTH(I7),60:60)</f>
        <v>0</v>
      </c>
      <c r="K7" s="523"/>
      <c r="L7" s="2136"/>
      <c r="M7" s="2137"/>
      <c r="N7" s="2137"/>
      <c r="O7" s="2137"/>
      <c r="P7" s="3388"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388" t="s">
        <v>533</v>
      </c>
      <c r="Q8" s="3380"/>
      <c r="R8" s="1568" t="s">
        <v>8</v>
      </c>
      <c r="S8" s="1569">
        <f t="shared" si="0"/>
        <v>0</v>
      </c>
      <c r="T8" s="1568" t="s">
        <v>8</v>
      </c>
      <c r="U8" s="1569">
        <f t="shared" si="1"/>
        <v>0</v>
      </c>
      <c r="V8" s="1568" t="s">
        <v>8</v>
      </c>
      <c r="W8" s="1569">
        <f t="shared" si="2"/>
        <v>0</v>
      </c>
      <c r="X8" s="1570"/>
      <c r="Y8" s="3379" t="s">
        <v>533</v>
      </c>
      <c r="Z8" s="3380"/>
      <c r="AA8" s="1571" t="e">
        <f t="shared" ref="AA8:AA47" si="3">D8/F8</f>
        <v>#DIV/0!</v>
      </c>
      <c r="AB8" s="1571" t="e">
        <f t="shared" ref="AB8:AB47" si="4">D8/H8</f>
        <v>#DIV/0!</v>
      </c>
      <c r="AC8" s="1571" t="e">
        <f t="shared" ref="AC8:AC47" si="5">D8/J8</f>
        <v>#DIV/0!</v>
      </c>
    </row>
    <row r="9" spans="1:29" s="1219" customFormat="1" ht="15">
      <c r="A9" s="2915"/>
      <c r="B9" s="2922" t="s">
        <v>2759</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387"/>
      <c r="Q11" s="1150" t="str">
        <f t="shared" si="6"/>
        <v>容积率</v>
      </c>
      <c r="R11" s="1568" t="s">
        <v>8</v>
      </c>
      <c r="S11" s="1569" t="e">
        <f t="shared" si="0"/>
        <v>#N/A</v>
      </c>
      <c r="T11" s="1568" t="s">
        <v>8</v>
      </c>
      <c r="U11" s="1569" t="e">
        <f t="shared" si="1"/>
        <v>#N/A</v>
      </c>
      <c r="V11" s="1568" t="s">
        <v>8</v>
      </c>
      <c r="W11" s="1569" t="e">
        <f t="shared" si="2"/>
        <v>#N/A</v>
      </c>
      <c r="X11" s="1570"/>
      <c r="Y11" s="3344"/>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 t="shared" si="3"/>
        <v>1</v>
      </c>
      <c r="AB14" s="1571">
        <f t="shared" si="4"/>
        <v>1</v>
      </c>
      <c r="AC14" s="1571">
        <f t="shared" si="5"/>
        <v>1</v>
      </c>
    </row>
    <row r="15" spans="1:29" ht="15">
      <c r="A15" s="2911" t="s">
        <v>2757</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389" t="s">
        <v>540</v>
      </c>
      <c r="Q15" s="1572" t="str">
        <f t="shared" si="6"/>
        <v>办公集聚程度</v>
      </c>
      <c r="R15" s="1573" t="s">
        <v>8</v>
      </c>
      <c r="S15" s="1574">
        <f t="shared" si="0"/>
        <v>100</v>
      </c>
      <c r="T15" s="1573" t="s">
        <v>8</v>
      </c>
      <c r="U15" s="1574">
        <f t="shared" si="1"/>
        <v>100</v>
      </c>
      <c r="V15" s="1573" t="s">
        <v>8</v>
      </c>
      <c r="W15" s="1574">
        <f t="shared" si="2"/>
        <v>100</v>
      </c>
      <c r="X15" s="1567"/>
      <c r="Y15" s="3389"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390"/>
      <c r="Q16" s="1572"/>
      <c r="R16" s="1573"/>
      <c r="S16" s="1574"/>
      <c r="T16" s="1573"/>
      <c r="U16" s="1574"/>
      <c r="V16" s="1573"/>
      <c r="W16" s="1574"/>
      <c r="X16" s="1567"/>
      <c r="Y16" s="3390"/>
      <c r="Z16" s="1575"/>
      <c r="AA16" s="1576">
        <v>1</v>
      </c>
      <c r="AB16" s="1576">
        <v>1</v>
      </c>
      <c r="AC16" s="1576">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390"/>
      <c r="Q18" s="1572"/>
      <c r="R18" s="1573"/>
      <c r="S18" s="1574"/>
      <c r="T18" s="1573"/>
      <c r="U18" s="1574"/>
      <c r="V18" s="1573"/>
      <c r="W18" s="1574"/>
      <c r="X18" s="1567"/>
      <c r="Y18" s="3390"/>
      <c r="Z18" s="1575"/>
      <c r="AA18" s="1576">
        <v>1</v>
      </c>
      <c r="AB18" s="1576">
        <v>1</v>
      </c>
      <c r="AC18" s="1576">
        <v>1</v>
      </c>
    </row>
    <row r="19" spans="1:29" ht="15">
      <c r="A19" s="531"/>
      <c r="B19" s="2604" t="s">
        <v>2549</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390"/>
      <c r="Q20" s="1572"/>
      <c r="R20" s="1573"/>
      <c r="S20" s="1574"/>
      <c r="T20" s="1573"/>
      <c r="U20" s="1574"/>
      <c r="V20" s="1573"/>
      <c r="W20" s="1574"/>
      <c r="X20" s="1567"/>
      <c r="Y20" s="3390"/>
      <c r="Z20" s="1575"/>
      <c r="AA20" s="1576">
        <v>1</v>
      </c>
      <c r="AB20" s="1576">
        <v>1</v>
      </c>
      <c r="AC20" s="1576">
        <v>1</v>
      </c>
    </row>
    <row r="21" spans="1:29" ht="15">
      <c r="A21" s="531"/>
      <c r="B21" s="2592" t="s">
        <v>2561</v>
      </c>
      <c r="C21" s="572" t="str">
        <f>估价对象房地状况!C8</f>
        <v>六通</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390"/>
      <c r="Q22" s="2580"/>
      <c r="R22" s="1573"/>
      <c r="S22" s="1574"/>
      <c r="T22" s="1573"/>
      <c r="U22" s="1574"/>
      <c r="V22" s="1573"/>
      <c r="W22" s="1574"/>
      <c r="X22" s="2582"/>
      <c r="Y22" s="3390"/>
      <c r="Z22" s="2581"/>
      <c r="AA22" s="1576">
        <v>1</v>
      </c>
      <c r="AB22" s="1576">
        <v>1</v>
      </c>
      <c r="AC22" s="1576">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390"/>
      <c r="Q24" s="1572"/>
      <c r="R24" s="1573"/>
      <c r="S24" s="1574"/>
      <c r="T24" s="1573"/>
      <c r="U24" s="1574"/>
      <c r="V24" s="1573"/>
      <c r="W24" s="1574"/>
      <c r="X24" s="1567"/>
      <c r="Y24" s="3390"/>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390"/>
      <c r="Q26" s="1572"/>
      <c r="R26" s="1573"/>
      <c r="S26" s="1574"/>
      <c r="T26" s="1573"/>
      <c r="U26" s="1574"/>
      <c r="V26" s="1573"/>
      <c r="W26" s="1574"/>
      <c r="X26" s="1567"/>
      <c r="Y26" s="3390"/>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390"/>
      <c r="Q28" s="1150" t="str">
        <f t="shared" si="11"/>
        <v>朝向</v>
      </c>
      <c r="R28" s="1568" t="s">
        <v>8</v>
      </c>
      <c r="S28" s="1569">
        <f>F28</f>
        <v>100</v>
      </c>
      <c r="T28" s="1568" t="s">
        <v>8</v>
      </c>
      <c r="U28" s="1569">
        <f>H28</f>
        <v>100</v>
      </c>
      <c r="V28" s="1568" t="s">
        <v>8</v>
      </c>
      <c r="W28" s="1569">
        <f>J28</f>
        <v>100</v>
      </c>
      <c r="X28" s="1570"/>
      <c r="Y28" s="3390"/>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908" t="s">
        <v>2758</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391" t="s">
        <v>550</v>
      </c>
      <c r="Q33" s="1572" t="str">
        <f t="shared" si="11"/>
        <v>建筑类型</v>
      </c>
      <c r="R33" s="1573" t="s">
        <v>8</v>
      </c>
      <c r="S33" s="1574">
        <f t="shared" si="12"/>
        <v>100</v>
      </c>
      <c r="T33" s="1573" t="s">
        <v>8</v>
      </c>
      <c r="U33" s="1574">
        <f t="shared" si="13"/>
        <v>100</v>
      </c>
      <c r="V33" s="1573" t="s">
        <v>8</v>
      </c>
      <c r="W33" s="1574">
        <f t="shared" si="14"/>
        <v>100</v>
      </c>
      <c r="X33" s="1567"/>
      <c r="Y33" s="3392"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392"/>
      <c r="Q38" s="1150" t="str">
        <f t="shared" si="11"/>
        <v>写字楼等级</v>
      </c>
      <c r="R38" s="1568" t="s">
        <v>8</v>
      </c>
      <c r="S38" s="1569">
        <f t="shared" si="12"/>
        <v>100</v>
      </c>
      <c r="T38" s="1568" t="s">
        <v>8</v>
      </c>
      <c r="U38" s="1569">
        <f t="shared" si="13"/>
        <v>100</v>
      </c>
      <c r="V38" s="1568" t="s">
        <v>8</v>
      </c>
      <c r="W38" s="1569">
        <f t="shared" si="14"/>
        <v>100</v>
      </c>
      <c r="X38" s="1570"/>
      <c r="Y38" s="3392"/>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392" t="s">
        <v>550</v>
      </c>
      <c r="Q39" s="1572" t="str">
        <f t="shared" si="11"/>
        <v>物业管理</v>
      </c>
      <c r="R39" s="1573" t="s">
        <v>8</v>
      </c>
      <c r="S39" s="1574">
        <f t="shared" si="12"/>
        <v>100</v>
      </c>
      <c r="T39" s="1573" t="s">
        <v>8</v>
      </c>
      <c r="U39" s="1574">
        <f t="shared" si="13"/>
        <v>100</v>
      </c>
      <c r="V39" s="1573" t="s">
        <v>8</v>
      </c>
      <c r="W39" s="1574">
        <f t="shared" si="14"/>
        <v>100</v>
      </c>
      <c r="X39" s="1567"/>
      <c r="Y39" s="3392" t="s">
        <v>550</v>
      </c>
      <c r="Z39" s="1575" t="str">
        <f t="shared" si="15"/>
        <v>物业管理</v>
      </c>
      <c r="AA39" s="1576">
        <f t="shared" si="3"/>
        <v>1</v>
      </c>
      <c r="AB39" s="1576">
        <f t="shared" si="4"/>
        <v>1</v>
      </c>
      <c r="AC39" s="1576">
        <f t="shared" si="5"/>
        <v>1</v>
      </c>
    </row>
    <row r="40" spans="1:29" ht="15">
      <c r="A40" s="593"/>
      <c r="B40" s="1896"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392"/>
      <c r="Q45" s="1150">
        <f t="shared" si="11"/>
        <v>111</v>
      </c>
      <c r="R45" s="1568" t="s">
        <v>8</v>
      </c>
      <c r="S45" s="1569">
        <f t="shared" si="12"/>
        <v>100</v>
      </c>
      <c r="T45" s="1568" t="s">
        <v>8</v>
      </c>
      <c r="U45" s="1569">
        <f t="shared" si="13"/>
        <v>100</v>
      </c>
      <c r="V45" s="1568" t="s">
        <v>8</v>
      </c>
      <c r="W45" s="1569">
        <f t="shared" si="14"/>
        <v>100</v>
      </c>
      <c r="X45" s="1570"/>
      <c r="Y45" s="3392"/>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5">
      <c r="A48" s="606" t="s">
        <v>736</v>
      </c>
      <c r="B48" s="886"/>
      <c r="C48" s="2628" t="s">
        <v>1</v>
      </c>
      <c r="D48" s="2629"/>
      <c r="E48" s="2630"/>
      <c r="F48" s="2631"/>
      <c r="G48" s="2632"/>
      <c r="H48" s="2633"/>
      <c r="I48" s="2630"/>
      <c r="J48" s="2633"/>
      <c r="K48" s="1611"/>
      <c r="L48" s="2145"/>
      <c r="M48" s="2135"/>
      <c r="N48" s="2135"/>
      <c r="O48" s="2135"/>
      <c r="P48" s="3409" t="str">
        <f>A48</f>
        <v>成交单价（元/平方米）</v>
      </c>
      <c r="Q48" s="3387"/>
      <c r="R48" s="3473">
        <f>E48</f>
        <v>0</v>
      </c>
      <c r="S48" s="3473"/>
      <c r="T48" s="3473">
        <f>G48</f>
        <v>0</v>
      </c>
      <c r="U48" s="3473"/>
      <c r="V48" s="3473">
        <f>I48</f>
        <v>0</v>
      </c>
      <c r="W48" s="3473"/>
      <c r="X48" s="1559"/>
      <c r="Y48" s="1581"/>
      <c r="Z48" s="1559"/>
      <c r="AA48" s="1559"/>
      <c r="AB48" s="1559"/>
      <c r="AC48" s="1559"/>
    </row>
    <row r="49" spans="1:29" ht="15.75" thickBot="1">
      <c r="A49" s="614" t="s">
        <v>2763</v>
      </c>
      <c r="B49" s="887"/>
      <c r="C49" s="2634" t="e">
        <f>R50</f>
        <v>#DIV/0!</v>
      </c>
      <c r="D49" s="2635"/>
      <c r="E49" s="2636" t="e">
        <f>R49</f>
        <v>#DIV/0!</v>
      </c>
      <c r="F49" s="2636"/>
      <c r="G49" s="2634" t="e">
        <f>T49</f>
        <v>#DIV/0!</v>
      </c>
      <c r="H49" s="2635"/>
      <c r="I49" s="2636" t="e">
        <f>V49</f>
        <v>#DIV/0!</v>
      </c>
      <c r="J49" s="2635"/>
      <c r="K49" s="1612"/>
      <c r="L49" s="2145"/>
      <c r="M49" s="2135"/>
      <c r="N49" s="2135"/>
      <c r="O49" s="2135"/>
      <c r="P49" s="3409" t="str">
        <f>A49</f>
        <v>比较价格（元/平方米）</v>
      </c>
      <c r="Q49" s="3387"/>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0" t="s">
        <v>2935</v>
      </c>
      <c r="B50" s="621"/>
      <c r="C50" s="2637" t="e">
        <f>R50</f>
        <v>#DIV/0!</v>
      </c>
      <c r="D50" s="2637"/>
      <c r="E50" s="2637"/>
      <c r="F50" s="2637"/>
      <c r="G50" s="2637"/>
      <c r="H50" s="2637"/>
      <c r="I50" s="2637"/>
      <c r="J50" s="2637"/>
      <c r="K50" s="1613"/>
      <c r="L50" s="2145"/>
      <c r="M50" s="2135"/>
      <c r="N50" s="2135"/>
      <c r="O50" s="2135"/>
      <c r="P50" s="3501" t="str">
        <f>A50</f>
        <v>估价对象XX用房的比较价格（楼面单价，元/平方米）</v>
      </c>
      <c r="Q50" s="3409"/>
      <c r="R50" s="3472" t="e">
        <f>IF(F1="售价",ROUND(AVERAGE(R49:V49),0),ROUND(AVERAGE(R49:V49),1))</f>
        <v>#DIV/0!</v>
      </c>
      <c r="S50" s="3472"/>
      <c r="T50" s="3472"/>
      <c r="U50" s="3472"/>
      <c r="V50" s="3472"/>
      <c r="W50" s="347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529</v>
      </c>
      <c r="B59" s="645"/>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575</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531</v>
      </c>
      <c r="B62" s="647"/>
      <c r="C62" s="659" t="s">
        <v>576</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577</v>
      </c>
      <c r="B64" s="664" t="s">
        <v>534</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539</v>
      </c>
      <c r="B77" s="664" t="s">
        <v>585</v>
      </c>
      <c r="C77" s="702" t="s">
        <v>579</v>
      </c>
      <c r="D77" s="702" t="s">
        <v>580</v>
      </c>
      <c r="E77" s="702" t="s">
        <v>581</v>
      </c>
      <c r="F77" s="702" t="s">
        <v>582</v>
      </c>
      <c r="G77" s="702" t="s">
        <v>583</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586</v>
      </c>
      <c r="C79" s="707" t="s">
        <v>579</v>
      </c>
      <c r="D79" s="707" t="s">
        <v>580</v>
      </c>
      <c r="E79" s="707" t="s">
        <v>581</v>
      </c>
      <c r="F79" s="707" t="s">
        <v>582</v>
      </c>
      <c r="G79" s="707" t="s">
        <v>583</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2560</v>
      </c>
      <c r="C81" s="707" t="s">
        <v>579</v>
      </c>
      <c r="D81" s="707" t="s">
        <v>580</v>
      </c>
      <c r="E81" s="707" t="s">
        <v>581</v>
      </c>
      <c r="F81" s="707" t="s">
        <v>582</v>
      </c>
      <c r="G81" s="707" t="s">
        <v>583</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2561</v>
      </c>
      <c r="C83" s="2599" t="s">
        <v>2562</v>
      </c>
      <c r="D83" s="2599" t="s">
        <v>2563</v>
      </c>
      <c r="E83" s="2599" t="s">
        <v>2564</v>
      </c>
      <c r="F83" s="2599" t="s">
        <v>2565</v>
      </c>
      <c r="G83" s="2599" t="s">
        <v>2566</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784</v>
      </c>
      <c r="C85" s="707" t="s">
        <v>579</v>
      </c>
      <c r="D85" s="707" t="s">
        <v>580</v>
      </c>
      <c r="E85" s="707" t="s">
        <v>581</v>
      </c>
      <c r="F85" s="707" t="s">
        <v>582</v>
      </c>
      <c r="G85" s="707" t="s">
        <v>583</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785</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551</v>
      </c>
      <c r="B101" s="664" t="s">
        <v>747</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749</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751</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786</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753</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2559</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787</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775</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755</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521</v>
      </c>
      <c r="B4" s="512"/>
      <c r="C4" s="3393" t="s">
        <v>522</v>
      </c>
      <c r="D4" s="3394"/>
      <c r="E4" s="3417" t="s">
        <v>523</v>
      </c>
      <c r="F4" s="3418"/>
      <c r="G4" s="3393" t="s">
        <v>524</v>
      </c>
      <c r="H4" s="3394"/>
      <c r="I4" s="3393" t="s">
        <v>525</v>
      </c>
      <c r="J4" s="3394"/>
      <c r="K4" s="513" t="s">
        <v>526</v>
      </c>
      <c r="L4" s="2134"/>
      <c r="M4" s="2135"/>
      <c r="N4" s="2135"/>
      <c r="O4" s="2135"/>
      <c r="P4" s="3395" t="s">
        <v>527</v>
      </c>
      <c r="Q4" s="3396"/>
      <c r="R4" s="3381" t="s">
        <v>523</v>
      </c>
      <c r="S4" s="3382"/>
      <c r="T4" s="3381" t="s">
        <v>524</v>
      </c>
      <c r="U4" s="3382"/>
      <c r="V4" s="3401" t="s">
        <v>525</v>
      </c>
      <c r="W4" s="3401"/>
      <c r="X4" s="1567"/>
      <c r="Y4" s="3381" t="s">
        <v>527</v>
      </c>
      <c r="Z4" s="3382"/>
      <c r="AA4" s="3376" t="s">
        <v>523</v>
      </c>
      <c r="AB4" s="3377" t="s">
        <v>524</v>
      </c>
      <c r="AC4" s="3376" t="s">
        <v>525</v>
      </c>
    </row>
    <row r="5" spans="1:29" ht="15">
      <c r="A5" s="514"/>
      <c r="B5" s="515"/>
      <c r="C5" s="3421" t="s">
        <v>2929</v>
      </c>
      <c r="D5" s="3422"/>
      <c r="E5" s="3419" t="s">
        <v>2930</v>
      </c>
      <c r="F5" s="3420"/>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SUMIF(52:52,YEAR(E7)&amp;"-"&amp;MONTH(E7),53:53)</f>
        <v>0</v>
      </c>
      <c r="G7" s="520"/>
      <c r="H7" s="519">
        <f>SUMIF(52:52,YEAR(G7)&amp;"-"&amp;MONTH(G7),53:53)</f>
        <v>0</v>
      </c>
      <c r="I7" s="520"/>
      <c r="J7" s="519">
        <f>SUMIF(52:52,YEAR(I7)&amp;"-"&amp;MONTH(I7),53:53)</f>
        <v>0</v>
      </c>
      <c r="K7" s="523"/>
      <c r="L7" s="2136"/>
      <c r="M7" s="2137"/>
      <c r="N7" s="2137"/>
      <c r="O7" s="2137"/>
      <c r="P7" s="3379"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40" si="3">D8/F8</f>
        <v>#DIV/0!</v>
      </c>
      <c r="AB8" s="1571" t="e">
        <f t="shared" ref="AB8:AB40" si="4">D8/H8</f>
        <v>#DIV/0!</v>
      </c>
      <c r="AC8" s="1571" t="e">
        <f t="shared" ref="AC8:AC40" si="5">D8/J8</f>
        <v>#DIV/0!</v>
      </c>
    </row>
    <row r="9" spans="1:29" s="1219" customFormat="1" ht="15">
      <c r="A9" s="2915"/>
      <c r="B9" s="2922" t="s">
        <v>2759</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387" t="s">
        <v>535</v>
      </c>
      <c r="Q9" s="1150" t="str">
        <f t="shared" ref="Q9:Q15" si="6">B9</f>
        <v>用途</v>
      </c>
      <c r="R9" s="1568" t="s">
        <v>8</v>
      </c>
      <c r="S9" s="1569">
        <f t="shared" si="0"/>
        <v>100</v>
      </c>
      <c r="T9" s="1568" t="s">
        <v>8</v>
      </c>
      <c r="U9" s="1569">
        <f t="shared" si="1"/>
        <v>100</v>
      </c>
      <c r="V9" s="1568" t="s">
        <v>8</v>
      </c>
      <c r="W9" s="1569">
        <f t="shared" si="2"/>
        <v>100</v>
      </c>
      <c r="X9" s="1570"/>
      <c r="Y9" s="3344"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387"/>
      <c r="Q11" s="1150" t="str">
        <f t="shared" si="6"/>
        <v>容积率</v>
      </c>
      <c r="R11" s="1568" t="s">
        <v>8</v>
      </c>
      <c r="S11" s="1569" t="e">
        <f t="shared" si="0"/>
        <v>#N/A</v>
      </c>
      <c r="T11" s="1568" t="s">
        <v>8</v>
      </c>
      <c r="U11" s="1569" t="e">
        <f t="shared" si="1"/>
        <v>#N/A</v>
      </c>
      <c r="V11" s="1568" t="s">
        <v>8</v>
      </c>
      <c r="W11" s="1569" t="e">
        <f t="shared" si="2"/>
        <v>#N/A</v>
      </c>
      <c r="X11" s="1570"/>
      <c r="Y11" s="3344"/>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387"/>
      <c r="Q14" s="1150">
        <f t="shared" si="6"/>
        <v>111</v>
      </c>
      <c r="R14" s="1568" t="s">
        <v>8</v>
      </c>
      <c r="S14" s="1569">
        <f t="shared" si="0"/>
        <v>100</v>
      </c>
      <c r="T14" s="1568" t="s">
        <v>8</v>
      </c>
      <c r="U14" s="1569">
        <f t="shared" si="1"/>
        <v>100</v>
      </c>
      <c r="V14" s="1568" t="s">
        <v>8</v>
      </c>
      <c r="W14" s="1569">
        <f t="shared" si="2"/>
        <v>100</v>
      </c>
      <c r="X14" s="1570"/>
      <c r="Y14" s="3344"/>
      <c r="Z14" s="1149">
        <f t="shared" si="7"/>
        <v>111</v>
      </c>
      <c r="AA14" s="1571">
        <f t="shared" si="3"/>
        <v>1</v>
      </c>
      <c r="AB14" s="1571">
        <f t="shared" si="4"/>
        <v>1</v>
      </c>
      <c r="AC14" s="1571">
        <f t="shared" si="5"/>
        <v>1</v>
      </c>
    </row>
    <row r="15" spans="1:29" ht="57">
      <c r="A15" s="2911" t="s">
        <v>2757</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389" t="s">
        <v>540</v>
      </c>
      <c r="Q15" s="1572" t="str">
        <f t="shared" si="6"/>
        <v>产业集聚程度</v>
      </c>
      <c r="R15" s="1573" t="s">
        <v>8</v>
      </c>
      <c r="S15" s="1574">
        <f t="shared" si="0"/>
        <v>100</v>
      </c>
      <c r="T15" s="1573" t="s">
        <v>8</v>
      </c>
      <c r="U15" s="1574">
        <f t="shared" si="1"/>
        <v>100</v>
      </c>
      <c r="V15" s="1573" t="s">
        <v>8</v>
      </c>
      <c r="W15" s="1574">
        <f t="shared" si="2"/>
        <v>100</v>
      </c>
      <c r="X15" s="1567"/>
      <c r="Y15" s="3389"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90"/>
      <c r="Q16" s="1572"/>
      <c r="R16" s="1573"/>
      <c r="S16" s="1574"/>
      <c r="T16" s="1573"/>
      <c r="U16" s="1574"/>
      <c r="V16" s="1573"/>
      <c r="W16" s="1574"/>
      <c r="X16" s="1567"/>
      <c r="Y16" s="3390"/>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90"/>
      <c r="Q18" s="1572"/>
      <c r="R18" s="1573"/>
      <c r="S18" s="1574"/>
      <c r="T18" s="1573"/>
      <c r="U18" s="1574"/>
      <c r="V18" s="1573"/>
      <c r="W18" s="1574"/>
      <c r="X18" s="1567"/>
      <c r="Y18" s="3390"/>
      <c r="Z18" s="1575"/>
      <c r="AA18" s="1576">
        <v>1</v>
      </c>
      <c r="AB18" s="1576">
        <v>1</v>
      </c>
      <c r="AC18" s="1576">
        <v>1</v>
      </c>
    </row>
    <row r="19" spans="1:29" ht="42.75">
      <c r="A19" s="531"/>
      <c r="B19" s="2604"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390"/>
      <c r="Q20" s="1572"/>
      <c r="R20" s="1573"/>
      <c r="S20" s="1574"/>
      <c r="T20" s="1573"/>
      <c r="U20" s="1574"/>
      <c r="V20" s="1573"/>
      <c r="W20" s="1574"/>
      <c r="X20" s="1567"/>
      <c r="Y20" s="3390"/>
      <c r="Z20" s="1575"/>
      <c r="AA20" s="1576">
        <v>1</v>
      </c>
      <c r="AB20" s="1576">
        <v>1</v>
      </c>
      <c r="AC20" s="1576">
        <v>1</v>
      </c>
    </row>
    <row r="21" spans="1:29" ht="28.5">
      <c r="A21" s="531"/>
      <c r="B21" s="2592"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390"/>
      <c r="Q21" s="2580" t="str">
        <f>B21</f>
        <v>基础设施水平</v>
      </c>
      <c r="R21" s="1573" t="s">
        <v>8</v>
      </c>
      <c r="S21" s="1574">
        <f>F21</f>
        <v>100</v>
      </c>
      <c r="T21" s="1573" t="s">
        <v>8</v>
      </c>
      <c r="U21" s="1574">
        <f>H21</f>
        <v>100</v>
      </c>
      <c r="V21" s="1573" t="s">
        <v>8</v>
      </c>
      <c r="W21" s="1574">
        <f>J21</f>
        <v>100</v>
      </c>
      <c r="X21" s="2582"/>
      <c r="Y21" s="3390"/>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390"/>
      <c r="Q22" s="2580"/>
      <c r="R22" s="1573"/>
      <c r="S22" s="1574"/>
      <c r="T22" s="1573"/>
      <c r="U22" s="1574"/>
      <c r="V22" s="1573"/>
      <c r="W22" s="1574"/>
      <c r="X22" s="2582"/>
      <c r="Y22" s="3390"/>
      <c r="Z22" s="2581"/>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390"/>
      <c r="Q24" s="1572"/>
      <c r="R24" s="1573"/>
      <c r="S24" s="1574"/>
      <c r="T24" s="1573"/>
      <c r="U24" s="1574"/>
      <c r="V24" s="1573"/>
      <c r="W24" s="1574"/>
      <c r="X24" s="1567"/>
      <c r="Y24" s="3390"/>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390"/>
      <c r="Q27" s="1150">
        <f t="shared" si="11"/>
        <v>111</v>
      </c>
      <c r="R27" s="1568" t="s">
        <v>8</v>
      </c>
      <c r="S27" s="1569">
        <f>F27</f>
        <v>100</v>
      </c>
      <c r="T27" s="1568" t="s">
        <v>8</v>
      </c>
      <c r="U27" s="1569">
        <f>H27</f>
        <v>100</v>
      </c>
      <c r="V27" s="1568" t="s">
        <v>8</v>
      </c>
      <c r="W27" s="1569">
        <f>J27</f>
        <v>100</v>
      </c>
      <c r="X27" s="1570"/>
      <c r="Y27" s="3390"/>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908" t="s">
        <v>2758</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391" t="s">
        <v>550</v>
      </c>
      <c r="Q29" s="1572" t="str">
        <f t="shared" si="11"/>
        <v>建筑类型</v>
      </c>
      <c r="R29" s="1573" t="s">
        <v>8</v>
      </c>
      <c r="S29" s="1574">
        <f t="shared" si="12"/>
        <v>100</v>
      </c>
      <c r="T29" s="1573" t="s">
        <v>8</v>
      </c>
      <c r="U29" s="1574">
        <f t="shared" si="13"/>
        <v>100</v>
      </c>
      <c r="V29" s="1573" t="s">
        <v>8</v>
      </c>
      <c r="W29" s="1574">
        <f t="shared" si="14"/>
        <v>100</v>
      </c>
      <c r="X29" s="1567"/>
      <c r="Y29" s="3392"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392"/>
      <c r="Q34" s="1150" t="str">
        <f t="shared" si="11"/>
        <v>物业管理</v>
      </c>
      <c r="R34" s="1568" t="s">
        <v>8</v>
      </c>
      <c r="S34" s="1569">
        <f t="shared" si="12"/>
        <v>100</v>
      </c>
      <c r="T34" s="1568" t="s">
        <v>8</v>
      </c>
      <c r="U34" s="1569">
        <f t="shared" si="13"/>
        <v>100</v>
      </c>
      <c r="V34" s="1568" t="s">
        <v>8</v>
      </c>
      <c r="W34" s="1569">
        <f t="shared" si="14"/>
        <v>100</v>
      </c>
      <c r="X34" s="1570"/>
      <c r="Y34" s="3392"/>
      <c r="Z34" s="1149" t="str">
        <f t="shared" si="15"/>
        <v>物业管理</v>
      </c>
      <c r="AA34" s="1571">
        <f t="shared" si="3"/>
        <v>1</v>
      </c>
      <c r="AB34" s="1571">
        <f t="shared" si="4"/>
        <v>1</v>
      </c>
      <c r="AC34" s="1571">
        <f t="shared" si="5"/>
        <v>1</v>
      </c>
    </row>
    <row r="35" spans="1:29" ht="15">
      <c r="A35" s="593"/>
      <c r="B35" s="1896"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392" t="s">
        <v>550</v>
      </c>
      <c r="Q35" s="1572" t="str">
        <f t="shared" si="11"/>
        <v>市政基础设施</v>
      </c>
      <c r="R35" s="1573" t="s">
        <v>8</v>
      </c>
      <c r="S35" s="1574">
        <f t="shared" si="12"/>
        <v>100</v>
      </c>
      <c r="T35" s="1573" t="s">
        <v>8</v>
      </c>
      <c r="U35" s="1574">
        <f t="shared" si="13"/>
        <v>100</v>
      </c>
      <c r="V35" s="1573" t="s">
        <v>8</v>
      </c>
      <c r="W35" s="1574">
        <f t="shared" si="14"/>
        <v>100</v>
      </c>
      <c r="X35" s="1567"/>
      <c r="Y35" s="3392"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5">
      <c r="A41" s="606" t="s">
        <v>736</v>
      </c>
      <c r="B41" s="886"/>
      <c r="C41" s="2628" t="s">
        <v>1</v>
      </c>
      <c r="D41" s="2629"/>
      <c r="E41" s="2630"/>
      <c r="F41" s="2631"/>
      <c r="G41" s="2632"/>
      <c r="H41" s="2633"/>
      <c r="I41" s="2630"/>
      <c r="J41" s="2633"/>
      <c r="K41" s="1611"/>
      <c r="L41" s="2145"/>
      <c r="M41" s="2146"/>
      <c r="N41" s="2135"/>
      <c r="O41" s="2146"/>
      <c r="P41" s="3387" t="str">
        <f>A41</f>
        <v>成交单价（元/平方米）</v>
      </c>
      <c r="Q41" s="3387"/>
      <c r="R41" s="3473">
        <f>E41</f>
        <v>0</v>
      </c>
      <c r="S41" s="3473"/>
      <c r="T41" s="3473">
        <f>G41</f>
        <v>0</v>
      </c>
      <c r="U41" s="3473"/>
      <c r="V41" s="3473">
        <f>I41</f>
        <v>0</v>
      </c>
      <c r="W41" s="3473"/>
      <c r="X41" s="1559"/>
      <c r="Y41" s="1581"/>
      <c r="Z41" s="1559"/>
      <c r="AA41" s="1559"/>
      <c r="AB41" s="1559"/>
      <c r="AC41" s="1559"/>
    </row>
    <row r="42" spans="1:29" ht="15.75" thickBot="1">
      <c r="A42" s="614" t="s">
        <v>2763</v>
      </c>
      <c r="B42" s="887"/>
      <c r="C42" s="2634" t="e">
        <f>R43</f>
        <v>#DIV/0!</v>
      </c>
      <c r="D42" s="2635"/>
      <c r="E42" s="2636" t="e">
        <f>R42</f>
        <v>#DIV/0!</v>
      </c>
      <c r="F42" s="2636"/>
      <c r="G42" s="2634" t="e">
        <f>T42</f>
        <v>#DIV/0!</v>
      </c>
      <c r="H42" s="2635"/>
      <c r="I42" s="2636" t="e">
        <f>V42</f>
        <v>#DIV/0!</v>
      </c>
      <c r="J42" s="2635"/>
      <c r="K42" s="1612"/>
      <c r="L42" s="2145"/>
      <c r="M42" s="2146"/>
      <c r="N42" s="2135"/>
      <c r="O42" s="2146"/>
      <c r="P42" s="3387" t="str">
        <f>A42</f>
        <v>比较价格（元/平方米）</v>
      </c>
      <c r="Q42" s="3387"/>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0" t="s">
        <v>2935</v>
      </c>
      <c r="B43" s="621"/>
      <c r="C43" s="2637" t="e">
        <f>R43</f>
        <v>#DIV/0!</v>
      </c>
      <c r="D43" s="2637"/>
      <c r="E43" s="2637"/>
      <c r="F43" s="2637"/>
      <c r="G43" s="2637"/>
      <c r="H43" s="2637"/>
      <c r="I43" s="2637"/>
      <c r="J43" s="2637"/>
      <c r="K43" s="1613"/>
      <c r="L43" s="2145"/>
      <c r="M43" s="2146"/>
      <c r="N43" s="2146"/>
      <c r="O43" s="2146"/>
      <c r="P43" s="3408" t="str">
        <f>A43</f>
        <v>估价对象XX用房的比较价格（楼面单价，元/平方米）</v>
      </c>
      <c r="Q43" s="3409"/>
      <c r="R43" s="3472" t="e">
        <f>IF(F1="售价",ROUND(AVERAGE(R42:V42),0),ROUND(AVERAGE(R42:V42),1))</f>
        <v>#DIV/0!</v>
      </c>
      <c r="S43" s="3472"/>
      <c r="T43" s="3472"/>
      <c r="U43" s="3472"/>
      <c r="V43" s="3472"/>
      <c r="W43" s="347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529</v>
      </c>
      <c r="B52" s="645"/>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575</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531</v>
      </c>
      <c r="B55" s="647"/>
      <c r="C55" s="659" t="s">
        <v>576</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577</v>
      </c>
      <c r="B57" s="664" t="s">
        <v>534</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539</v>
      </c>
      <c r="B70" s="664" t="s">
        <v>585</v>
      </c>
      <c r="C70" s="702" t="s">
        <v>579</v>
      </c>
      <c r="D70" s="702" t="s">
        <v>580</v>
      </c>
      <c r="E70" s="702" t="s">
        <v>581</v>
      </c>
      <c r="F70" s="702" t="s">
        <v>582</v>
      </c>
      <c r="G70" s="702" t="s">
        <v>583</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586</v>
      </c>
      <c r="C72" s="707" t="s">
        <v>579</v>
      </c>
      <c r="D72" s="707" t="s">
        <v>580</v>
      </c>
      <c r="E72" s="707" t="s">
        <v>581</v>
      </c>
      <c r="F72" s="707" t="s">
        <v>582</v>
      </c>
      <c r="G72" s="707" t="s">
        <v>583</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2560</v>
      </c>
      <c r="C74" s="707" t="s">
        <v>579</v>
      </c>
      <c r="D74" s="707" t="s">
        <v>580</v>
      </c>
      <c r="E74" s="707" t="s">
        <v>581</v>
      </c>
      <c r="F74" s="707" t="s">
        <v>582</v>
      </c>
      <c r="G74" s="707" t="s">
        <v>583</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2561</v>
      </c>
      <c r="C76" s="2599" t="s">
        <v>2562</v>
      </c>
      <c r="D76" s="2599" t="s">
        <v>2563</v>
      </c>
      <c r="E76" s="2599" t="s">
        <v>2564</v>
      </c>
      <c r="F76" s="2599" t="s">
        <v>2565</v>
      </c>
      <c r="G76" s="2599" t="s">
        <v>2566</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784</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551</v>
      </c>
      <c r="B88" s="664" t="s">
        <v>747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749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751</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753</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2559</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755</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9" t="s">
        <v>2079</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93" t="s">
        <v>798</v>
      </c>
      <c r="D4" s="3394"/>
      <c r="E4" s="3393" t="s">
        <v>799</v>
      </c>
      <c r="F4" s="3394"/>
      <c r="G4" s="3393" t="s">
        <v>800</v>
      </c>
      <c r="H4" s="3394"/>
      <c r="I4" s="3393" t="s">
        <v>801</v>
      </c>
      <c r="J4" s="3394"/>
      <c r="K4" s="513" t="s">
        <v>802</v>
      </c>
      <c r="L4" s="2134"/>
      <c r="M4" s="2135"/>
      <c r="N4" s="2135"/>
      <c r="O4" s="2135"/>
      <c r="P4" s="3395" t="s">
        <v>803</v>
      </c>
      <c r="Q4" s="3396"/>
      <c r="R4" s="3381" t="s">
        <v>799</v>
      </c>
      <c r="S4" s="3382"/>
      <c r="T4" s="3381" t="s">
        <v>800</v>
      </c>
      <c r="U4" s="3382"/>
      <c r="V4" s="3401" t="s">
        <v>801</v>
      </c>
      <c r="W4" s="3401"/>
      <c r="X4" s="1567"/>
      <c r="Y4" s="3381" t="s">
        <v>803</v>
      </c>
      <c r="Z4" s="3382"/>
      <c r="AA4" s="3376" t="s">
        <v>799</v>
      </c>
      <c r="AB4" s="3377" t="s">
        <v>800</v>
      </c>
      <c r="AC4" s="3376" t="s">
        <v>801</v>
      </c>
    </row>
    <row r="5" spans="1:29" ht="15">
      <c r="A5" s="514"/>
      <c r="B5" s="515"/>
      <c r="C5" s="3421" t="s">
        <v>2929</v>
      </c>
      <c r="D5" s="3422"/>
      <c r="E5" s="3421" t="s">
        <v>2930</v>
      </c>
      <c r="F5" s="3422"/>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23" t="s">
        <v>2933</v>
      </c>
      <c r="D6" s="3424"/>
      <c r="E6" s="3502" t="s">
        <v>2933</v>
      </c>
      <c r="F6" s="3503"/>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SUMIF(48:48,YEAR(E7)&amp;"-"&amp;MONTH(E7),49:49)</f>
        <v>0</v>
      </c>
      <c r="G7" s="522"/>
      <c r="H7" s="519">
        <f>SUMIF(48:48,YEAR(G7)&amp;"-"&amp;MONTH(G7),49:49)</f>
        <v>0</v>
      </c>
      <c r="I7" s="522"/>
      <c r="J7" s="519">
        <f>SUMIF(48:48,YEAR(I7)&amp;"-"&amp;MONTH(I7),49:49)</f>
        <v>0</v>
      </c>
      <c r="K7" s="523"/>
      <c r="L7" s="2136"/>
      <c r="M7" s="2137"/>
      <c r="N7" s="2137"/>
      <c r="O7" s="2137"/>
      <c r="P7" s="3379" t="s">
        <v>530</v>
      </c>
      <c r="Q7" s="3388"/>
      <c r="R7" s="1568" t="s">
        <v>8</v>
      </c>
      <c r="S7" s="1569">
        <f t="shared" ref="S7:S14" si="0">F7</f>
        <v>0</v>
      </c>
      <c r="T7" s="1568" t="s">
        <v>8</v>
      </c>
      <c r="U7" s="1569">
        <f t="shared" ref="U7:U14" si="1">H7</f>
        <v>0</v>
      </c>
      <c r="V7" s="1568" t="s">
        <v>8</v>
      </c>
      <c r="W7" s="1569">
        <f t="shared" ref="W7:W14"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36" si="3">D8/F8</f>
        <v>#DIV/0!</v>
      </c>
      <c r="AB8" s="1571" t="e">
        <f t="shared" ref="AB8:AB36" si="4">D8/H8</f>
        <v>#DIV/0!</v>
      </c>
      <c r="AC8" s="1571" t="e">
        <f t="shared" ref="AC8:AC36" si="5">D8/J8</f>
        <v>#DIV/0!</v>
      </c>
    </row>
    <row r="9" spans="1:29" s="1219" customFormat="1" ht="15">
      <c r="A9" s="2915"/>
      <c r="B9" s="2922" t="s">
        <v>2759</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387" t="s">
        <v>535</v>
      </c>
      <c r="Q9" s="1150" t="str">
        <f t="shared" ref="Q9:Q14" si="6">B9</f>
        <v>用途</v>
      </c>
      <c r="R9" s="1568" t="s">
        <v>8</v>
      </c>
      <c r="S9" s="1569">
        <f t="shared" si="0"/>
        <v>100</v>
      </c>
      <c r="T9" s="1568" t="s">
        <v>8</v>
      </c>
      <c r="U9" s="1569">
        <f t="shared" si="1"/>
        <v>100</v>
      </c>
      <c r="V9" s="1568" t="s">
        <v>8</v>
      </c>
      <c r="W9" s="1569">
        <f t="shared" si="2"/>
        <v>100</v>
      </c>
      <c r="X9" s="1570"/>
      <c r="Y9" s="3344"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387"/>
      <c r="Q11" s="1150">
        <f t="shared" si="6"/>
        <v>111</v>
      </c>
      <c r="R11" s="1568" t="s">
        <v>8</v>
      </c>
      <c r="S11" s="1569">
        <f t="shared" si="0"/>
        <v>100</v>
      </c>
      <c r="T11" s="1568" t="s">
        <v>8</v>
      </c>
      <c r="U11" s="1569">
        <f t="shared" si="1"/>
        <v>100</v>
      </c>
      <c r="V11" s="1568" t="s">
        <v>8</v>
      </c>
      <c r="W11" s="1569">
        <f t="shared" si="2"/>
        <v>100</v>
      </c>
      <c r="X11" s="1570"/>
      <c r="Y11" s="3344"/>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
      <c r="A14" s="2911" t="s">
        <v>2757</v>
      </c>
      <c r="B14" s="546" t="s">
        <v>543</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390"/>
      <c r="Q15" s="1572"/>
      <c r="R15" s="1573"/>
      <c r="S15" s="1574"/>
      <c r="T15" s="1573"/>
      <c r="U15" s="1574"/>
      <c r="V15" s="1573"/>
      <c r="W15" s="1574"/>
      <c r="X15" s="1567"/>
      <c r="Y15" s="3390"/>
      <c r="Z15" s="1575"/>
      <c r="AA15" s="1576">
        <v>1</v>
      </c>
      <c r="AB15" s="1576">
        <v>1</v>
      </c>
      <c r="AC15" s="1576">
        <v>1</v>
      </c>
    </row>
    <row r="16" spans="1:29" ht="15">
      <c r="A16" s="514"/>
      <c r="B16" s="2604" t="s">
        <v>2549</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390"/>
      <c r="Q17" s="1572"/>
      <c r="R17" s="1573"/>
      <c r="S17" s="1574"/>
      <c r="T17" s="1573"/>
      <c r="U17" s="1574"/>
      <c r="V17" s="1573"/>
      <c r="W17" s="1574"/>
      <c r="X17" s="1567"/>
      <c r="Y17" s="3390"/>
      <c r="Z17" s="1575"/>
      <c r="AA17" s="1576">
        <v>1</v>
      </c>
      <c r="AB17" s="1576">
        <v>1</v>
      </c>
      <c r="AC17" s="1576">
        <v>1</v>
      </c>
    </row>
    <row r="18" spans="1:29" ht="15">
      <c r="A18" s="514"/>
      <c r="B18" s="2592" t="s">
        <v>2561</v>
      </c>
      <c r="C18" s="871" t="str">
        <f>IF(B1="工业",估价对象房地状况!G6,估价对象房地状况!C8)</f>
        <v>六通</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390"/>
      <c r="Q18" s="2580" t="str">
        <f>B18</f>
        <v>基础设施水平</v>
      </c>
      <c r="R18" s="1573" t="s">
        <v>8</v>
      </c>
      <c r="S18" s="1574">
        <f>F18</f>
        <v>100</v>
      </c>
      <c r="T18" s="1573" t="s">
        <v>8</v>
      </c>
      <c r="U18" s="1574">
        <f>H18</f>
        <v>100</v>
      </c>
      <c r="V18" s="1573" t="s">
        <v>8</v>
      </c>
      <c r="W18" s="1574">
        <f>J18</f>
        <v>100</v>
      </c>
      <c r="X18" s="2582"/>
      <c r="Y18" s="3390"/>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390"/>
      <c r="Q19" s="2580"/>
      <c r="R19" s="1573"/>
      <c r="S19" s="1574"/>
      <c r="T19" s="1573"/>
      <c r="U19" s="1574"/>
      <c r="V19" s="1573"/>
      <c r="W19" s="1574"/>
      <c r="X19" s="2582"/>
      <c r="Y19" s="3390"/>
      <c r="Z19" s="2581"/>
      <c r="AA19" s="1576">
        <v>1</v>
      </c>
      <c r="AB19" s="1576">
        <v>1</v>
      </c>
      <c r="AC19" s="1576">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390"/>
      <c r="Q24" s="1572">
        <f t="shared" ref="Q24:Q36"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908" t="s">
        <v>2758</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39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392"/>
      <c r="Q29" s="1572" t="str">
        <f t="shared" si="11"/>
        <v>成新率</v>
      </c>
      <c r="R29" s="1573" t="s">
        <v>8</v>
      </c>
      <c r="S29" s="1574" t="e">
        <f t="shared" si="12"/>
        <v>#N/A</v>
      </c>
      <c r="T29" s="1573" t="s">
        <v>8</v>
      </c>
      <c r="U29" s="1574" t="e">
        <f t="shared" si="13"/>
        <v>#N/A</v>
      </c>
      <c r="V29" s="1573" t="s">
        <v>8</v>
      </c>
      <c r="W29" s="1574" t="e">
        <f t="shared" si="14"/>
        <v>#N/A</v>
      </c>
      <c r="X29" s="1567"/>
      <c r="Y29" s="3392"/>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392"/>
      <c r="Q31" s="1150" t="str">
        <f t="shared" si="11"/>
        <v>停车位面积</v>
      </c>
      <c r="R31" s="1568" t="s">
        <v>8</v>
      </c>
      <c r="S31" s="1569" t="e">
        <f t="shared" si="12"/>
        <v>#N/A</v>
      </c>
      <c r="T31" s="1568" t="s">
        <v>8</v>
      </c>
      <c r="U31" s="1569" t="e">
        <f t="shared" si="13"/>
        <v>#N/A</v>
      </c>
      <c r="V31" s="1568" t="s">
        <v>8</v>
      </c>
      <c r="W31" s="1569" t="e">
        <f t="shared" si="14"/>
        <v>#N/A</v>
      </c>
      <c r="X31" s="1570"/>
      <c r="Y31" s="3392"/>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392" t="s">
        <v>550</v>
      </c>
      <c r="Q32" s="1572" t="str">
        <f t="shared" si="11"/>
        <v>车位类型</v>
      </c>
      <c r="R32" s="1573" t="s">
        <v>8</v>
      </c>
      <c r="S32" s="1574">
        <f t="shared" si="12"/>
        <v>100</v>
      </c>
      <c r="T32" s="1573" t="s">
        <v>8</v>
      </c>
      <c r="U32" s="1574">
        <f t="shared" si="13"/>
        <v>100</v>
      </c>
      <c r="V32" s="1573" t="s">
        <v>8</v>
      </c>
      <c r="W32" s="1574">
        <f t="shared" si="14"/>
        <v>100</v>
      </c>
      <c r="X32" s="1567"/>
      <c r="Y32" s="3392"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392"/>
      <c r="Q35" s="1605">
        <f t="shared" si="11"/>
        <v>111</v>
      </c>
      <c r="R35" s="1577" t="s">
        <v>8</v>
      </c>
      <c r="S35" s="1578">
        <f t="shared" si="12"/>
        <v>100</v>
      </c>
      <c r="T35" s="1577" t="s">
        <v>8</v>
      </c>
      <c r="U35" s="1578">
        <f t="shared" si="13"/>
        <v>100</v>
      </c>
      <c r="V35" s="1577" t="s">
        <v>8</v>
      </c>
      <c r="W35" s="1578">
        <f t="shared" si="14"/>
        <v>100</v>
      </c>
      <c r="X35" s="1579"/>
      <c r="Y35" s="3392"/>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392"/>
      <c r="Q36" s="1572">
        <f t="shared" si="11"/>
        <v>111</v>
      </c>
      <c r="R36" s="1573" t="s">
        <v>8</v>
      </c>
      <c r="S36" s="1574">
        <f t="shared" si="12"/>
        <v>100</v>
      </c>
      <c r="T36" s="1573" t="s">
        <v>8</v>
      </c>
      <c r="U36" s="1574">
        <f t="shared" si="13"/>
        <v>100</v>
      </c>
      <c r="V36" s="1573" t="s">
        <v>8</v>
      </c>
      <c r="W36" s="1574">
        <f t="shared" si="14"/>
        <v>100</v>
      </c>
      <c r="X36" s="1567"/>
      <c r="Y36" s="3392"/>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87" t="str">
        <f>A37</f>
        <v>成交单价</v>
      </c>
      <c r="Q37" s="3387"/>
      <c r="R37" s="3473">
        <f>E37</f>
        <v>0</v>
      </c>
      <c r="S37" s="3473"/>
      <c r="T37" s="3473">
        <f>G37</f>
        <v>0</v>
      </c>
      <c r="U37" s="3473"/>
      <c r="V37" s="3473">
        <f>I37</f>
        <v>0</v>
      </c>
      <c r="W37" s="3473"/>
      <c r="X37" s="1559"/>
      <c r="Y37" s="1581"/>
      <c r="Z37" s="1559"/>
      <c r="AA37" s="1559"/>
      <c r="AB37" s="1559"/>
      <c r="AC37" s="1559"/>
    </row>
    <row r="38" spans="1:29" ht="15.75" thickBot="1">
      <c r="A38" s="614" t="s">
        <v>2763</v>
      </c>
      <c r="B38" s="887"/>
      <c r="C38" s="2634" t="e">
        <f>R39</f>
        <v>#DIV/0!</v>
      </c>
      <c r="D38" s="2635"/>
      <c r="E38" s="2636" t="e">
        <f>R38</f>
        <v>#DIV/0!</v>
      </c>
      <c r="F38" s="2636"/>
      <c r="G38" s="2634" t="e">
        <f>T38</f>
        <v>#DIV/0!</v>
      </c>
      <c r="H38" s="2635"/>
      <c r="I38" s="2636" t="e">
        <f>V38</f>
        <v>#DIV/0!</v>
      </c>
      <c r="J38" s="2635"/>
      <c r="K38" s="1612"/>
      <c r="L38" s="2145"/>
      <c r="M38" s="2146"/>
      <c r="N38" s="2146"/>
      <c r="O38" s="2146"/>
      <c r="P38" s="3387" t="str">
        <f>A38</f>
        <v>比较价格（元/平方米）</v>
      </c>
      <c r="Q38" s="3387"/>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0" t="s">
        <v>2935</v>
      </c>
      <c r="B39" s="621"/>
      <c r="C39" s="2637" t="e">
        <f>R39</f>
        <v>#DIV/0!</v>
      </c>
      <c r="D39" s="2637"/>
      <c r="E39" s="2637"/>
      <c r="F39" s="2637"/>
      <c r="G39" s="2637"/>
      <c r="H39" s="2637"/>
      <c r="I39" s="2637"/>
      <c r="J39" s="2637"/>
      <c r="K39" s="1613"/>
      <c r="L39" s="2145"/>
      <c r="M39" s="2146"/>
      <c r="N39" s="2146"/>
      <c r="O39" s="2146"/>
      <c r="P39" s="3408" t="str">
        <f>A39</f>
        <v>估价对象XX用房的比较价格（楼面单价，元/平方米）</v>
      </c>
      <c r="Q39" s="3409"/>
      <c r="R39" s="3472" t="e">
        <f>IF(F1="售价",ROUND(AVERAGE(R38:V38),0),ROUND(AVERAGE(R38:V38),1))</f>
        <v>#DIV/0!</v>
      </c>
      <c r="S39" s="3472"/>
      <c r="T39" s="3472"/>
      <c r="U39" s="3472"/>
      <c r="V39" s="3472"/>
      <c r="W39" s="347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529</v>
      </c>
      <c r="B48" s="645"/>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575</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531</v>
      </c>
      <c r="B51" s="647"/>
      <c r="C51" s="659" t="s">
        <v>576</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577</v>
      </c>
      <c r="B53" s="664" t="s">
        <v>534</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2560</v>
      </c>
      <c r="C65" s="707" t="s">
        <v>579</v>
      </c>
      <c r="D65" s="707" t="s">
        <v>580</v>
      </c>
      <c r="E65" s="707" t="s">
        <v>581</v>
      </c>
      <c r="F65" s="707" t="s">
        <v>582</v>
      </c>
      <c r="G65" s="707" t="s">
        <v>583</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2561</v>
      </c>
      <c r="C67" s="2599" t="s">
        <v>2562</v>
      </c>
      <c r="D67" s="2599" t="s">
        <v>2563</v>
      </c>
      <c r="E67" s="2599" t="s">
        <v>2564</v>
      </c>
      <c r="F67" s="2599" t="s">
        <v>2565</v>
      </c>
      <c r="G67" s="2599" t="s">
        <v>2566</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744</v>
      </c>
      <c r="C69" s="707" t="s">
        <v>579</v>
      </c>
      <c r="D69" s="707" t="s">
        <v>580</v>
      </c>
      <c r="E69" s="707" t="s">
        <v>581</v>
      </c>
      <c r="F69" s="707" t="s">
        <v>582</v>
      </c>
      <c r="G69" s="707" t="s">
        <v>583</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745</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551</v>
      </c>
      <c r="B79" s="664" t="s">
        <v>814</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751</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819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820</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93" t="s">
        <v>798</v>
      </c>
      <c r="D4" s="3394"/>
      <c r="E4" s="3417" t="s">
        <v>799</v>
      </c>
      <c r="F4" s="3418"/>
      <c r="G4" s="3393" t="s">
        <v>800</v>
      </c>
      <c r="H4" s="3394"/>
      <c r="I4" s="3393" t="s">
        <v>801</v>
      </c>
      <c r="J4" s="3394"/>
      <c r="K4" s="513" t="s">
        <v>802</v>
      </c>
      <c r="L4" s="2134"/>
      <c r="M4" s="2135"/>
      <c r="N4" s="2135"/>
      <c r="O4" s="2135"/>
      <c r="P4" s="3395" t="s">
        <v>803</v>
      </c>
      <c r="Q4" s="3396"/>
      <c r="R4" s="3381" t="s">
        <v>799</v>
      </c>
      <c r="S4" s="3382"/>
      <c r="T4" s="3381" t="s">
        <v>800</v>
      </c>
      <c r="U4" s="3382"/>
      <c r="V4" s="3401" t="s">
        <v>801</v>
      </c>
      <c r="W4" s="3401"/>
      <c r="X4" s="1567"/>
      <c r="Y4" s="3381" t="s">
        <v>803</v>
      </c>
      <c r="Z4" s="3382"/>
      <c r="AA4" s="3376" t="s">
        <v>799</v>
      </c>
      <c r="AB4" s="3377" t="s">
        <v>800</v>
      </c>
      <c r="AC4" s="3376" t="s">
        <v>801</v>
      </c>
    </row>
    <row r="5" spans="1:29" ht="15">
      <c r="A5" s="514"/>
      <c r="B5" s="515"/>
      <c r="C5" s="3421" t="s">
        <v>2929</v>
      </c>
      <c r="D5" s="3422"/>
      <c r="E5" s="3419" t="s">
        <v>2930</v>
      </c>
      <c r="F5" s="3420"/>
      <c r="G5" s="3421" t="s">
        <v>2931</v>
      </c>
      <c r="H5" s="3422"/>
      <c r="I5" s="3421" t="s">
        <v>2932</v>
      </c>
      <c r="J5" s="3422"/>
      <c r="K5" s="513"/>
      <c r="L5" s="2134"/>
      <c r="M5" s="2135"/>
      <c r="N5" s="2135"/>
      <c r="O5" s="2135"/>
      <c r="P5" s="3397"/>
      <c r="Q5" s="3398"/>
      <c r="R5" s="3383"/>
      <c r="S5" s="3384"/>
      <c r="T5" s="3383"/>
      <c r="U5" s="3384"/>
      <c r="V5" s="3401"/>
      <c r="W5" s="3401"/>
      <c r="X5" s="1567"/>
      <c r="Y5" s="3383"/>
      <c r="Z5" s="3384"/>
      <c r="AA5" s="3377"/>
      <c r="AB5" s="3377"/>
      <c r="AC5" s="3377"/>
    </row>
    <row r="6" spans="1:29" ht="15.75" thickBot="1">
      <c r="A6" s="516"/>
      <c r="B6" s="517"/>
      <c r="C6" s="3423" t="s">
        <v>2933</v>
      </c>
      <c r="D6" s="3424"/>
      <c r="E6" s="3425" t="s">
        <v>2933</v>
      </c>
      <c r="F6" s="3426"/>
      <c r="G6" s="3423" t="s">
        <v>2933</v>
      </c>
      <c r="H6" s="3424"/>
      <c r="I6" s="3423" t="s">
        <v>2933</v>
      </c>
      <c r="J6" s="3424"/>
      <c r="K6" s="513" t="s">
        <v>528</v>
      </c>
      <c r="L6" s="2134"/>
      <c r="M6" s="2135"/>
      <c r="N6" s="2135"/>
      <c r="O6" s="2135"/>
      <c r="P6" s="3399"/>
      <c r="Q6" s="3400"/>
      <c r="R6" s="3383"/>
      <c r="S6" s="3384"/>
      <c r="T6" s="3385"/>
      <c r="U6" s="3386"/>
      <c r="V6" s="3401"/>
      <c r="W6" s="3401"/>
      <c r="X6" s="1567"/>
      <c r="Y6" s="3385"/>
      <c r="Z6" s="3386"/>
      <c r="AA6" s="3378"/>
      <c r="AB6" s="3378"/>
      <c r="AC6" s="3378"/>
    </row>
    <row r="7" spans="1:29" s="1219" customFormat="1" ht="15.75" thickBot="1">
      <c r="A7" s="2913"/>
      <c r="B7" s="2920" t="s">
        <v>529</v>
      </c>
      <c r="C7" s="518">
        <f>'数据-取费表'!B2</f>
        <v>43316</v>
      </c>
      <c r="D7" s="519">
        <v>100</v>
      </c>
      <c r="E7" s="520"/>
      <c r="F7" s="521">
        <f>SUMIF(46:46,YEAR(E7)&amp;"-"&amp;MONTH(E7),47:47)</f>
        <v>0</v>
      </c>
      <c r="G7" s="522"/>
      <c r="H7" s="519">
        <f>SUMIF(46:46,YEAR(G7)&amp;"-"&amp;MONTH(G7),47:47)</f>
        <v>0</v>
      </c>
      <c r="I7" s="522"/>
      <c r="J7" s="519">
        <f>SUMIF(46:46,YEAR(I7)&amp;"-"&amp;MONTH(I7),47:47)</f>
        <v>0</v>
      </c>
      <c r="K7" s="523"/>
      <c r="L7" s="2136"/>
      <c r="M7" s="2137"/>
      <c r="N7" s="2137"/>
      <c r="O7" s="2137"/>
      <c r="P7" s="3379" t="s">
        <v>530</v>
      </c>
      <c r="Q7" s="3388"/>
      <c r="R7" s="1568" t="s">
        <v>8</v>
      </c>
      <c r="S7" s="1569">
        <f t="shared" ref="S7:S14" si="0">F7</f>
        <v>0</v>
      </c>
      <c r="T7" s="1568" t="s">
        <v>8</v>
      </c>
      <c r="U7" s="1569">
        <f t="shared" ref="U7:U14" si="1">H7</f>
        <v>0</v>
      </c>
      <c r="V7" s="1568" t="s">
        <v>8</v>
      </c>
      <c r="W7" s="1569">
        <f t="shared" ref="W7:W14" si="2">J7</f>
        <v>0</v>
      </c>
      <c r="X7" s="1570"/>
      <c r="Y7" s="3379" t="s">
        <v>530</v>
      </c>
      <c r="Z7" s="3380"/>
      <c r="AA7" s="1571" t="e">
        <f>D7/F7</f>
        <v>#DIV/0!</v>
      </c>
      <c r="AB7" s="1571" t="e">
        <f>D7/H7</f>
        <v>#DIV/0!</v>
      </c>
      <c r="AC7" s="1571" t="e">
        <f>D7/J7</f>
        <v>#DIV/0!</v>
      </c>
    </row>
    <row r="8" spans="1:29" s="1219" customFormat="1" ht="15.75" thickBot="1">
      <c r="A8" s="2914"/>
      <c r="B8" s="2921" t="s">
        <v>531</v>
      </c>
      <c r="C8" s="524" t="s">
        <v>576</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379" t="s">
        <v>533</v>
      </c>
      <c r="Q8" s="3380"/>
      <c r="R8" s="1568" t="s">
        <v>8</v>
      </c>
      <c r="S8" s="1569">
        <f t="shared" si="0"/>
        <v>0</v>
      </c>
      <c r="T8" s="1568" t="s">
        <v>8</v>
      </c>
      <c r="U8" s="1569">
        <f t="shared" si="1"/>
        <v>0</v>
      </c>
      <c r="V8" s="1568" t="s">
        <v>8</v>
      </c>
      <c r="W8" s="1569">
        <f t="shared" si="2"/>
        <v>0</v>
      </c>
      <c r="X8" s="1570"/>
      <c r="Y8" s="3379" t="s">
        <v>533</v>
      </c>
      <c r="Z8" s="3380"/>
      <c r="AA8" s="1571" t="e">
        <f t="shared" ref="AA8:AA34" si="3">D8/F8</f>
        <v>#DIV/0!</v>
      </c>
      <c r="AB8" s="1571" t="e">
        <f t="shared" ref="AB8:AB34" si="4">D8/H8</f>
        <v>#DIV/0!</v>
      </c>
      <c r="AC8" s="1571" t="e">
        <f t="shared" ref="AC8:AC34" si="5">D8/J8</f>
        <v>#DIV/0!</v>
      </c>
    </row>
    <row r="9" spans="1:29" s="1219" customFormat="1" ht="15">
      <c r="A9" s="2915"/>
      <c r="B9" s="2922" t="s">
        <v>2759</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387" t="s">
        <v>535</v>
      </c>
      <c r="Q9" s="1150" t="str">
        <f t="shared" ref="Q9:Q14" si="6">B9</f>
        <v>用途</v>
      </c>
      <c r="R9" s="1568" t="s">
        <v>8</v>
      </c>
      <c r="S9" s="1569">
        <f t="shared" si="0"/>
        <v>100</v>
      </c>
      <c r="T9" s="1568" t="s">
        <v>8</v>
      </c>
      <c r="U9" s="1569">
        <f t="shared" si="1"/>
        <v>100</v>
      </c>
      <c r="V9" s="1568" t="s">
        <v>8</v>
      </c>
      <c r="W9" s="1569">
        <f t="shared" si="2"/>
        <v>100</v>
      </c>
      <c r="X9" s="1570"/>
      <c r="Y9" s="3344"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387"/>
      <c r="Q10" s="1150" t="str">
        <f t="shared" si="6"/>
        <v>土地使用年限（年）</v>
      </c>
      <c r="R10" s="1568" t="s">
        <v>8</v>
      </c>
      <c r="S10" s="1569">
        <f t="shared" si="0"/>
        <v>100</v>
      </c>
      <c r="T10" s="1568" t="s">
        <v>8</v>
      </c>
      <c r="U10" s="1569">
        <f t="shared" si="1"/>
        <v>100</v>
      </c>
      <c r="V10" s="1568" t="s">
        <v>8</v>
      </c>
      <c r="W10" s="1569">
        <f t="shared" si="2"/>
        <v>100</v>
      </c>
      <c r="X10" s="1570"/>
      <c r="Y10" s="3344"/>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387"/>
      <c r="Q11" s="1150">
        <f t="shared" si="6"/>
        <v>111</v>
      </c>
      <c r="R11" s="1568" t="s">
        <v>8</v>
      </c>
      <c r="S11" s="1569">
        <f t="shared" si="0"/>
        <v>100</v>
      </c>
      <c r="T11" s="1568" t="s">
        <v>8</v>
      </c>
      <c r="U11" s="1569">
        <f t="shared" si="1"/>
        <v>100</v>
      </c>
      <c r="V11" s="1568" t="s">
        <v>8</v>
      </c>
      <c r="W11" s="1569">
        <f t="shared" si="2"/>
        <v>100</v>
      </c>
      <c r="X11" s="1570"/>
      <c r="Y11" s="3344"/>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387"/>
      <c r="Q12" s="1150">
        <f t="shared" si="6"/>
        <v>111</v>
      </c>
      <c r="R12" s="1568" t="s">
        <v>8</v>
      </c>
      <c r="S12" s="1569">
        <f t="shared" si="0"/>
        <v>100</v>
      </c>
      <c r="T12" s="1568" t="s">
        <v>8</v>
      </c>
      <c r="U12" s="1569">
        <f t="shared" si="1"/>
        <v>100</v>
      </c>
      <c r="V12" s="1568" t="s">
        <v>8</v>
      </c>
      <c r="W12" s="1569">
        <f t="shared" si="2"/>
        <v>100</v>
      </c>
      <c r="X12" s="1570"/>
      <c r="Y12" s="3344"/>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387"/>
      <c r="Q13" s="1150">
        <f t="shared" si="6"/>
        <v>111</v>
      </c>
      <c r="R13" s="1568" t="s">
        <v>8</v>
      </c>
      <c r="S13" s="1569">
        <f t="shared" si="0"/>
        <v>100</v>
      </c>
      <c r="T13" s="1568" t="s">
        <v>8</v>
      </c>
      <c r="U13" s="1569">
        <f t="shared" si="1"/>
        <v>100</v>
      </c>
      <c r="V13" s="1568" t="s">
        <v>8</v>
      </c>
      <c r="W13" s="1569">
        <f t="shared" si="2"/>
        <v>100</v>
      </c>
      <c r="X13" s="1570"/>
      <c r="Y13" s="3344"/>
      <c r="Z13" s="1149">
        <f t="shared" si="7"/>
        <v>111</v>
      </c>
      <c r="AA13" s="1571">
        <f t="shared" si="3"/>
        <v>1</v>
      </c>
      <c r="AB13" s="1571">
        <f t="shared" si="4"/>
        <v>1</v>
      </c>
      <c r="AC13" s="1571">
        <f t="shared" si="5"/>
        <v>1</v>
      </c>
    </row>
    <row r="14" spans="1:29" ht="15">
      <c r="A14" s="2911" t="s">
        <v>2757</v>
      </c>
      <c r="B14" s="166" t="s">
        <v>543</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390"/>
      <c r="Q15" s="1572"/>
      <c r="R15" s="1573"/>
      <c r="S15" s="1574"/>
      <c r="T15" s="1573"/>
      <c r="U15" s="1574"/>
      <c r="V15" s="1573"/>
      <c r="W15" s="1574"/>
      <c r="X15" s="1567"/>
      <c r="Y15" s="3390"/>
      <c r="Z15" s="1575"/>
      <c r="AA15" s="1576">
        <v>1</v>
      </c>
      <c r="AB15" s="1576">
        <v>1</v>
      </c>
      <c r="AC15" s="1576">
        <v>1</v>
      </c>
    </row>
    <row r="16" spans="1:29" ht="15">
      <c r="A16" s="531"/>
      <c r="B16" s="2604" t="s">
        <v>2549</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390"/>
      <c r="Q17" s="1572"/>
      <c r="R17" s="1573"/>
      <c r="S17" s="1574"/>
      <c r="T17" s="1573"/>
      <c r="U17" s="1574"/>
      <c r="V17" s="1573"/>
      <c r="W17" s="1574"/>
      <c r="X17" s="1567"/>
      <c r="Y17" s="3390"/>
      <c r="Z17" s="1575"/>
      <c r="AA17" s="1576">
        <v>1</v>
      </c>
      <c r="AB17" s="1576">
        <v>1</v>
      </c>
      <c r="AC17" s="1576">
        <v>1</v>
      </c>
    </row>
    <row r="18" spans="1:29" ht="15">
      <c r="A18" s="531"/>
      <c r="B18" s="2592" t="s">
        <v>2561</v>
      </c>
      <c r="C18" s="871" t="str">
        <f>IF(B1="工业",估价对象房地状况!G6,估价对象房地状况!C8)</f>
        <v>六通</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390"/>
      <c r="Q18" s="2580" t="str">
        <f>B18</f>
        <v>基础设施水平</v>
      </c>
      <c r="R18" s="1573" t="s">
        <v>8</v>
      </c>
      <c r="S18" s="1574">
        <f>F18</f>
        <v>100</v>
      </c>
      <c r="T18" s="1573" t="s">
        <v>8</v>
      </c>
      <c r="U18" s="1574">
        <f>H18</f>
        <v>100</v>
      </c>
      <c r="V18" s="1573" t="s">
        <v>8</v>
      </c>
      <c r="W18" s="1574">
        <f>J18</f>
        <v>100</v>
      </c>
      <c r="X18" s="2582"/>
      <c r="Y18" s="3390"/>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390"/>
      <c r="Q19" s="2580"/>
      <c r="R19" s="1573"/>
      <c r="S19" s="1574"/>
      <c r="T19" s="1573"/>
      <c r="U19" s="1574"/>
      <c r="V19" s="1573"/>
      <c r="W19" s="1574"/>
      <c r="X19" s="2582"/>
      <c r="Y19" s="3390"/>
      <c r="Z19" s="2581"/>
      <c r="AA19" s="1576">
        <v>1</v>
      </c>
      <c r="AB19" s="1576">
        <v>1</v>
      </c>
      <c r="AC19" s="1576">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390"/>
      <c r="Q21" s="1572"/>
      <c r="R21" s="1573"/>
      <c r="S21" s="1574"/>
      <c r="T21" s="1573"/>
      <c r="U21" s="1574"/>
      <c r="V21" s="1573"/>
      <c r="W21" s="1574"/>
      <c r="X21" s="1567"/>
      <c r="Y21" s="3390"/>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390"/>
      <c r="Q25" s="1150">
        <f t="shared" si="11"/>
        <v>111</v>
      </c>
      <c r="R25" s="1568" t="s">
        <v>8</v>
      </c>
      <c r="S25" s="1569">
        <f>F25</f>
        <v>100</v>
      </c>
      <c r="T25" s="1568" t="s">
        <v>8</v>
      </c>
      <c r="U25" s="1569">
        <f>H25</f>
        <v>100</v>
      </c>
      <c r="V25" s="1568" t="s">
        <v>8</v>
      </c>
      <c r="W25" s="1569">
        <f>J25</f>
        <v>100</v>
      </c>
      <c r="X25" s="1570"/>
      <c r="Y25" s="3390"/>
      <c r="Z25" s="1149">
        <f>Q25</f>
        <v>111</v>
      </c>
      <c r="AA25" s="1576">
        <f>D25/F25</f>
        <v>1</v>
      </c>
      <c r="AB25" s="1576">
        <f>D25/H25</f>
        <v>1</v>
      </c>
      <c r="AC25" s="1576">
        <f>D25/J25</f>
        <v>1</v>
      </c>
    </row>
    <row r="26" spans="1:29" ht="15">
      <c r="A26" s="2908" t="s">
        <v>2758</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39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392"/>
      <c r="Q31" s="1150" t="str">
        <f t="shared" si="11"/>
        <v>是否封闭</v>
      </c>
      <c r="R31" s="1568" t="s">
        <v>8</v>
      </c>
      <c r="S31" s="1569">
        <f t="shared" si="12"/>
        <v>100</v>
      </c>
      <c r="T31" s="1568" t="s">
        <v>8</v>
      </c>
      <c r="U31" s="1569">
        <f t="shared" si="13"/>
        <v>100</v>
      </c>
      <c r="V31" s="1568" t="s">
        <v>8</v>
      </c>
      <c r="W31" s="1569">
        <f t="shared" si="14"/>
        <v>100</v>
      </c>
      <c r="X31" s="1570"/>
      <c r="Y31" s="3392"/>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392" t="s">
        <v>550</v>
      </c>
      <c r="Q32" s="1572">
        <f t="shared" si="11"/>
        <v>111</v>
      </c>
      <c r="R32" s="1573" t="s">
        <v>8</v>
      </c>
      <c r="S32" s="1574">
        <f t="shared" si="12"/>
        <v>100</v>
      </c>
      <c r="T32" s="1573" t="s">
        <v>8</v>
      </c>
      <c r="U32" s="1574">
        <f t="shared" si="13"/>
        <v>100</v>
      </c>
      <c r="V32" s="1573" t="s">
        <v>8</v>
      </c>
      <c r="W32" s="1574">
        <f t="shared" si="14"/>
        <v>100</v>
      </c>
      <c r="X32" s="1567"/>
      <c r="Y32" s="3392"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6" t="s">
        <v>736</v>
      </c>
      <c r="B35" s="886"/>
      <c r="C35" s="2628" t="s">
        <v>1</v>
      </c>
      <c r="D35" s="2629"/>
      <c r="E35" s="2630"/>
      <c r="F35" s="2631"/>
      <c r="G35" s="2632"/>
      <c r="H35" s="2633"/>
      <c r="I35" s="2630"/>
      <c r="J35" s="2633"/>
      <c r="K35" s="1611"/>
      <c r="L35" s="2145"/>
      <c r="M35" s="2146"/>
      <c r="N35" s="2135"/>
      <c r="O35" s="2146"/>
      <c r="P35" s="3387" t="str">
        <f>A35</f>
        <v>成交单价（元/平方米）</v>
      </c>
      <c r="Q35" s="3387"/>
      <c r="R35" s="3473">
        <f>E35</f>
        <v>0</v>
      </c>
      <c r="S35" s="3473"/>
      <c r="T35" s="3473">
        <f>G35</f>
        <v>0</v>
      </c>
      <c r="U35" s="3473"/>
      <c r="V35" s="3473">
        <f>I35</f>
        <v>0</v>
      </c>
      <c r="W35" s="3473"/>
      <c r="X35" s="1559"/>
      <c r="Y35" s="1581"/>
      <c r="Z35" s="1559"/>
      <c r="AA35" s="1559"/>
      <c r="AB35" s="1559"/>
      <c r="AC35" s="1559"/>
    </row>
    <row r="36" spans="1:29" ht="15.75" thickBot="1">
      <c r="A36" s="614" t="s">
        <v>2763</v>
      </c>
      <c r="B36" s="887"/>
      <c r="C36" s="2634" t="e">
        <f>R37</f>
        <v>#DIV/0!</v>
      </c>
      <c r="D36" s="2635"/>
      <c r="E36" s="2636" t="e">
        <f>R36</f>
        <v>#DIV/0!</v>
      </c>
      <c r="F36" s="2636"/>
      <c r="G36" s="2634" t="e">
        <f>T36</f>
        <v>#DIV/0!</v>
      </c>
      <c r="H36" s="2635"/>
      <c r="I36" s="2636" t="e">
        <f>V36</f>
        <v>#DIV/0!</v>
      </c>
      <c r="J36" s="2635"/>
      <c r="K36" s="1612"/>
      <c r="L36" s="2145"/>
      <c r="M36" s="2146"/>
      <c r="N36" s="2135"/>
      <c r="O36" s="2146"/>
      <c r="P36" s="3387" t="str">
        <f>A36</f>
        <v>比较价格（元/平方米）</v>
      </c>
      <c r="Q36" s="3387"/>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0" t="s">
        <v>2935</v>
      </c>
      <c r="B37" s="621"/>
      <c r="C37" s="2637" t="e">
        <f>R37</f>
        <v>#DIV/0!</v>
      </c>
      <c r="D37" s="2637"/>
      <c r="E37" s="2637"/>
      <c r="F37" s="2637"/>
      <c r="G37" s="2637"/>
      <c r="H37" s="2637"/>
      <c r="I37" s="2637"/>
      <c r="J37" s="2637"/>
      <c r="K37" s="1613"/>
      <c r="L37" s="2145"/>
      <c r="M37" s="2146"/>
      <c r="N37" s="2146"/>
      <c r="O37" s="2146"/>
      <c r="P37" s="3408" t="str">
        <f>A37</f>
        <v>估价对象XX用房的比较价格（楼面单价，元/平方米）</v>
      </c>
      <c r="Q37" s="3409"/>
      <c r="R37" s="3472" t="e">
        <f>IF(F1="售价",ROUND(AVERAGE(R36:V36),0),ROUND(AVERAGE(R36:V36),1))</f>
        <v>#DIV/0!</v>
      </c>
      <c r="S37" s="3472"/>
      <c r="T37" s="3472"/>
      <c r="U37" s="3472"/>
      <c r="V37" s="3472"/>
      <c r="W37" s="347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529</v>
      </c>
      <c r="B46" s="645"/>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575</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531</v>
      </c>
      <c r="B49" s="647"/>
      <c r="C49" s="659" t="s">
        <v>576</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577</v>
      </c>
      <c r="B51" s="664" t="s">
        <v>534</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2560</v>
      </c>
      <c r="C63" s="707" t="s">
        <v>579</v>
      </c>
      <c r="D63" s="707" t="s">
        <v>580</v>
      </c>
      <c r="E63" s="707" t="s">
        <v>581</v>
      </c>
      <c r="F63" s="707" t="s">
        <v>582</v>
      </c>
      <c r="G63" s="707" t="s">
        <v>583</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2561</v>
      </c>
      <c r="C65" s="2599" t="s">
        <v>2562</v>
      </c>
      <c r="D65" s="2599" t="s">
        <v>2563</v>
      </c>
      <c r="E65" s="2599" t="s">
        <v>2564</v>
      </c>
      <c r="F65" s="2599" t="s">
        <v>2565</v>
      </c>
      <c r="G65" s="2599" t="s">
        <v>2566</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744</v>
      </c>
      <c r="C67" s="707" t="s">
        <v>579</v>
      </c>
      <c r="D67" s="707" t="s">
        <v>580</v>
      </c>
      <c r="E67" s="707" t="s">
        <v>581</v>
      </c>
      <c r="F67" s="707" t="s">
        <v>582</v>
      </c>
      <c r="G67" s="707" t="s">
        <v>583</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551</v>
      </c>
      <c r="B77" s="664" t="s">
        <v>751</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817</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825</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827</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93.75">
      <c r="A7" s="2874" t="s">
        <v>2751</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2306</v>
      </c>
      <c r="C1" s="3507" t="s">
        <v>2307</v>
      </c>
      <c r="D1" s="3508"/>
      <c r="E1" s="3508"/>
      <c r="F1" s="3508"/>
      <c r="G1" s="3508"/>
      <c r="H1" s="3508"/>
      <c r="I1" s="3508"/>
      <c r="J1" s="3508"/>
      <c r="K1" s="3508"/>
      <c r="L1" s="3508"/>
      <c r="M1" s="3508"/>
      <c r="N1" s="3508"/>
      <c r="O1" s="3508"/>
      <c r="P1" s="3508"/>
      <c r="Q1" s="3508"/>
      <c r="R1" s="3508"/>
      <c r="S1" s="3509"/>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8"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0" t="s">
        <v>2927</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0" t="s">
        <v>2926</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89"/>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8"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8"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8"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830</v>
      </c>
      <c r="B22" s="53">
        <f>SUM(B24:B10000)</f>
        <v>0</v>
      </c>
      <c r="C22" s="3504" t="s">
        <v>20</v>
      </c>
      <c r="D22" s="3505"/>
      <c r="E22" s="3505"/>
      <c r="F22" s="3505"/>
      <c r="G22" s="3505"/>
      <c r="H22" s="3505"/>
      <c r="I22" s="3505"/>
      <c r="J22" s="3505"/>
      <c r="K22" s="3505"/>
      <c r="L22" s="3505"/>
      <c r="M22" s="3505"/>
      <c r="N22" s="3505"/>
      <c r="O22" s="3505"/>
      <c r="P22" s="3505"/>
      <c r="Q22" s="3506"/>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43316</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2041</v>
      </c>
      <c r="B1" s="3207"/>
      <c r="C1" s="3207"/>
      <c r="D1" s="3207"/>
      <c r="E1" s="3207"/>
      <c r="F1" s="3207"/>
      <c r="G1" s="3207"/>
      <c r="H1" s="3207"/>
      <c r="I1" s="3207"/>
      <c r="J1" s="3207"/>
      <c r="K1" s="3207"/>
      <c r="L1" s="3207"/>
      <c r="M1" s="3207"/>
      <c r="N1" s="3207"/>
      <c r="O1" s="3207"/>
      <c r="P1" s="3207"/>
      <c r="Q1" s="3207"/>
      <c r="R1" s="3207"/>
    </row>
    <row r="2" spans="1:18">
      <c r="A2" s="1808" t="s">
        <v>2043</v>
      </c>
      <c r="B2" s="1808"/>
      <c r="C2" s="1808"/>
      <c r="D2" s="1808"/>
      <c r="E2" s="1808"/>
      <c r="F2" s="1808"/>
      <c r="G2" s="1808"/>
      <c r="H2" s="1808"/>
      <c r="I2" s="1809"/>
      <c r="J2" s="1809"/>
      <c r="K2" s="1810" t="str">
        <f>"估价期日："&amp;TEXT(项目基本情况!D3,"yyyy年m月d日;;")</f>
        <v>估价期日：2018年8月4日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8" t="s">
        <v>2032</v>
      </c>
      <c r="B3" s="3208" t="s">
        <v>2734</v>
      </c>
      <c r="C3" s="3209" t="s">
        <v>2033</v>
      </c>
      <c r="D3" s="3208" t="s">
        <v>2738</v>
      </c>
      <c r="E3" s="3211" t="s">
        <v>2034</v>
      </c>
      <c r="F3" s="3211"/>
      <c r="G3" s="3211"/>
      <c r="H3" s="3211" t="s">
        <v>2035</v>
      </c>
      <c r="I3" s="3211"/>
      <c r="J3" s="3211"/>
      <c r="K3" s="3209" t="s">
        <v>2036</v>
      </c>
      <c r="L3" s="3209" t="s">
        <v>2037</v>
      </c>
      <c r="M3" s="3208" t="s">
        <v>2735</v>
      </c>
      <c r="N3" s="3210" t="str">
        <f>"（分摊）"&amp;项目基本情况!B16&amp;"国有建设用地使用权面积/㎡"</f>
        <v>（分摊）出让国有建设用地使用权面积/㎡</v>
      </c>
      <c r="O3" s="3208" t="s">
        <v>2066</v>
      </c>
      <c r="P3" s="3209" t="s">
        <v>2046</v>
      </c>
      <c r="Q3" s="3209" t="s">
        <v>2067</v>
      </c>
      <c r="R3" s="3209" t="s">
        <v>2038</v>
      </c>
    </row>
    <row r="4" spans="1:18" ht="36.75" customHeight="1">
      <c r="A4" s="3208"/>
      <c r="B4" s="3208"/>
      <c r="C4" s="3209"/>
      <c r="D4" s="3208"/>
      <c r="E4" s="2650" t="s">
        <v>2045</v>
      </c>
      <c r="F4" s="2650" t="s">
        <v>2747</v>
      </c>
      <c r="G4" s="2650" t="s">
        <v>2039</v>
      </c>
      <c r="H4" s="2650" t="s">
        <v>2040</v>
      </c>
      <c r="I4" s="2650" t="s">
        <v>2748</v>
      </c>
      <c r="J4" s="2650" t="s">
        <v>2039</v>
      </c>
      <c r="K4" s="3209"/>
      <c r="L4" s="3209"/>
      <c r="M4" s="3208"/>
      <c r="N4" s="3210"/>
      <c r="O4" s="3208"/>
      <c r="P4" s="3209"/>
      <c r="Q4" s="3209"/>
      <c r="R4" s="3209"/>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2708.59</v>
      </c>
      <c r="O5" s="1811">
        <f>项目基本情况!C21</f>
        <v>9439</v>
      </c>
      <c r="P5" s="1811">
        <f ca="1">结果表!E42</f>
        <v>30857</v>
      </c>
      <c r="Q5" s="1811">
        <f ca="1">结果表!D42</f>
        <v>8855</v>
      </c>
      <c r="R5" s="1812">
        <f ca="1">结果表!C42</f>
        <v>8358</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3">
        <f ca="1">结果表!O39</f>
        <v>8358</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3"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5" t="s">
        <v>2068</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2069</v>
      </c>
      <c r="B5" s="3218"/>
      <c r="C5" s="3218"/>
      <c r="D5" s="3218"/>
    </row>
    <row r="6" spans="1:4">
      <c r="A6" s="3215" t="s">
        <v>2047</v>
      </c>
      <c r="B6" s="3215"/>
      <c r="C6" s="3215"/>
      <c r="D6" s="3215"/>
    </row>
    <row r="7" spans="1:4" ht="33" customHeight="1">
      <c r="A7" s="3215" t="s">
        <v>2578</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2071</v>
      </c>
      <c r="B12" s="3218"/>
      <c r="C12" s="3218"/>
      <c r="D12" s="3218"/>
    </row>
    <row r="13" spans="1:4">
      <c r="A13" s="3216" t="s">
        <v>2749</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2705</v>
      </c>
      <c r="B17" s="3215"/>
      <c r="C17" s="3215"/>
      <c r="D17" s="3215"/>
    </row>
    <row r="18" spans="1:4">
      <c r="A18" s="3215" t="s">
        <v>2697</v>
      </c>
      <c r="B18" s="3215"/>
      <c r="C18" s="3215"/>
      <c r="D18" s="3215"/>
    </row>
    <row r="19" spans="1:4">
      <c r="A19" s="2869" t="s">
        <v>2698</v>
      </c>
      <c r="B19" s="2869" t="s">
        <v>2699</v>
      </c>
      <c r="C19" s="2869" t="s">
        <v>2700</v>
      </c>
      <c r="D19" s="2869" t="s">
        <v>2701</v>
      </c>
    </row>
    <row r="20" spans="1:4">
      <c r="A20" s="2869" t="str">
        <f>项目基本情况!B4</f>
        <v>吴薇</v>
      </c>
      <c r="B20" s="2869">
        <f ca="1">项目基本情况!C4</f>
        <v>2002110125</v>
      </c>
      <c r="C20" s="2871"/>
      <c r="D20" s="1801" t="s">
        <v>2706</v>
      </c>
    </row>
    <row r="21" spans="1:4">
      <c r="A21" s="2869" t="str">
        <f>项目基本情况!D4</f>
        <v>郑燚</v>
      </c>
      <c r="B21" s="2869">
        <f>项目基本情况!E4</f>
        <v>2014110011</v>
      </c>
      <c r="C21" s="2871"/>
      <c r="D21" s="1801" t="s">
        <v>2707</v>
      </c>
    </row>
    <row r="23" spans="1:4">
      <c r="A23" s="3215" t="s">
        <v>2702</v>
      </c>
      <c r="B23" s="3215"/>
      <c r="C23" s="3215"/>
      <c r="D23" s="3215"/>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7" t="s">
        <v>53</v>
      </c>
      <c r="B15" s="3228" t="s">
        <v>846</v>
      </c>
      <c r="C15" s="3224"/>
    </row>
    <row r="16" spans="1:7" ht="14.25">
      <c r="A16" s="3227"/>
      <c r="B16" s="3225" t="s">
        <v>54</v>
      </c>
      <c r="C16" s="1171" t="s">
        <v>53</v>
      </c>
    </row>
    <row r="17" spans="1:3" ht="14.25">
      <c r="A17" s="3227"/>
      <c r="B17" s="3225"/>
      <c r="C17" s="1171" t="s">
        <v>55</v>
      </c>
    </row>
    <row r="18" spans="1:3" ht="14.25">
      <c r="A18" s="3227"/>
      <c r="B18" s="3225"/>
      <c r="C18" s="1171" t="s">
        <v>56</v>
      </c>
    </row>
    <row r="19" spans="1:3" ht="14.25">
      <c r="A19" s="3227"/>
      <c r="B19" s="3223" t="s">
        <v>57</v>
      </c>
      <c r="C19" s="3224"/>
    </row>
    <row r="20" spans="1:3" ht="14.25">
      <c r="A20" s="1172" t="s">
        <v>58</v>
      </c>
      <c r="B20" s="1173"/>
      <c r="C20" s="1174"/>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5" t="s">
        <v>837</v>
      </c>
    </row>
    <row r="25" spans="1:3" ht="14.25">
      <c r="A25" s="3226"/>
      <c r="B25" s="3230"/>
      <c r="C25" s="1175" t="s">
        <v>838</v>
      </c>
    </row>
    <row r="26" spans="1:3" ht="14.25">
      <c r="A26" s="3226"/>
      <c r="B26" s="3230"/>
      <c r="C26" s="1175" t="s">
        <v>839</v>
      </c>
    </row>
    <row r="27" spans="1:3" ht="14.25">
      <c r="A27" s="3226"/>
      <c r="B27" s="3230"/>
      <c r="C27" s="1175" t="s">
        <v>840</v>
      </c>
    </row>
    <row r="28" spans="1:3" ht="14.25">
      <c r="A28" s="3226"/>
      <c r="B28" s="3230"/>
      <c r="C28" s="1175" t="s">
        <v>841</v>
      </c>
    </row>
    <row r="29" spans="1:3" ht="14.25">
      <c r="A29" s="3226"/>
      <c r="B29" s="3230"/>
      <c r="C29" s="1175" t="s">
        <v>842</v>
      </c>
    </row>
    <row r="30" spans="1:3" ht="14.25">
      <c r="A30" s="3226"/>
      <c r="B30" s="3230"/>
      <c r="C30" s="1175" t="s">
        <v>843</v>
      </c>
    </row>
    <row r="31" spans="1:3" ht="14.25">
      <c r="A31" s="3226"/>
      <c r="B31" s="3230"/>
      <c r="C31" s="1175" t="s">
        <v>844</v>
      </c>
    </row>
    <row r="32" spans="1:3" ht="14.25">
      <c r="A32" s="3226"/>
      <c r="B32" s="3230"/>
      <c r="C32" s="1175" t="s">
        <v>1647</v>
      </c>
    </row>
    <row r="33" spans="1:3" ht="14.25">
      <c r="A33" s="3226"/>
      <c r="B33" s="3220" t="s">
        <v>1653</v>
      </c>
      <c r="C33" s="1175" t="s">
        <v>1648</v>
      </c>
    </row>
    <row r="34" spans="1:3" ht="14.25">
      <c r="A34" s="3226"/>
      <c r="B34" s="3221"/>
      <c r="C34" s="1180" t="s">
        <v>1649</v>
      </c>
    </row>
    <row r="35" spans="1:3" ht="14.25">
      <c r="A35" s="3226"/>
      <c r="B35" s="3221"/>
      <c r="C35" s="1181" t="s">
        <v>1650</v>
      </c>
    </row>
    <row r="36" spans="1:3" ht="14.25">
      <c r="A36" s="3226"/>
      <c r="B36" s="3221"/>
      <c r="C36" s="1181" t="s">
        <v>1651</v>
      </c>
    </row>
    <row r="37" spans="1:3" ht="14.25">
      <c r="A37" s="3226"/>
      <c r="B37" s="322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43318</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2979</v>
      </c>
      <c r="B12" s="2344">
        <v>1120110054</v>
      </c>
      <c r="C12" s="3007">
        <v>43937</v>
      </c>
      <c r="D12" s="2344" t="s">
        <v>2979</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31" t="s">
        <v>1929</v>
      </c>
      <c r="B25" s="3231"/>
      <c r="C25" s="3231"/>
      <c r="D25" s="3231"/>
      <c r="E25" s="3231"/>
      <c r="F25" s="3231"/>
      <c r="G25" s="3231"/>
    </row>
    <row r="26" spans="1:7" ht="20.25" customHeight="1">
      <c r="A26" s="3232" t="s">
        <v>1930</v>
      </c>
      <c r="B26" s="3232"/>
      <c r="C26" s="3232"/>
      <c r="D26" s="3232" t="s">
        <v>1931</v>
      </c>
      <c r="E26" s="3232"/>
      <c r="F26" s="323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1" t="s">
        <v>2957</v>
      </c>
      <c r="C18" s="1554"/>
    </row>
    <row r="19" spans="1:3">
      <c r="A19" s="8" t="s">
        <v>120</v>
      </c>
      <c r="B19" s="3111"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c r="D53" s="1768"/>
      <c r="E53" s="1768"/>
    </row>
    <row r="54" spans="1:5">
      <c r="A54" s="323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137</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2018-08-06T10:12:04Z</dcterms:modified>
</cp:coreProperties>
</file>