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<sst xmlns="http://schemas.openxmlformats.org/spreadsheetml/2006/main" count="7774" uniqueCount="2729">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</sst>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0"/>
      <scheme val="minor"/>
    </font>
    <font>
      <sz val="9"/>
      <name val="宋体"/>
      <charset val="134"/>
    </font>
    <font>
      <sz val="12"/>
      <name val="宋体"/>
      <charset val="134"/>
    </font>
    <font>
      <b/>
      <sz val="14"/>
      <name val="宋体"/>
      <charset val="134"/>
    </font>
    <font>
      <sz val="12"/>
      <name val="楷体_GB2312"/>
      <charset val="134"/>
    </font>
    <font>
      <sz val="12"/>
      <name val="仿宋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16500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16500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6" sqref="L16"/>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64.13</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106</v>
      </c>
      <c r="C5" s="2831">
        <f ca="1">IF(B5=D14,结果表!H102,ROUND(B5*10000/$B$1,0))</f>
        <v>16500</v>
      </c>
      <c r="D5" s="2831" t="e">
        <f>ROUND(B5*10000/$B$2,0)</f>
        <v>#DIV/0!</v>
      </c>
      <c r="E5" s="2832"/>
      <c r="F5" s="2833"/>
      <c r="G5" s="2833"/>
      <c r="H5" s="2834"/>
      <c r="I5" s="2834"/>
      <c r="J5" s="2834"/>
      <c r="K5" s="2834"/>
    </row>
    <row r="6" ht="16.5" spans="1:11">
      <c r="A6" s="2831" t="s">
        <v>741</v>
      </c>
      <c r="B6" s="2831">
        <f>SUM(G14:G23)</f>
        <v>0</v>
      </c>
      <c r="C6" s="2831">
        <f ca="1">IF(B6=G14,结果表!H108,ROUND(B6*10000/$B$1,0))</f>
        <v>16500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64.13</v>
      </c>
      <c r="C14" s="2843"/>
      <c r="D14" s="2843">
        <f>ROUND(E14*B14/10000,0)</f>
        <v>106</v>
      </c>
      <c r="E14" s="2843">
        <v>16500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3" sqref="K33"/>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spans="1:13">
      <c r="A19" s="2510" t="s">
        <v>791</v>
      </c>
      <c r="B19" s="2511" t="s">
        <v>792</v>
      </c>
      <c r="C19" s="2512">
        <f ca="1">SUMIF(INDIRECT("'"&amp;C4&amp;"'"&amp;"!A:A"),结果表!B19,INDIRECT("'"&amp;C4&amp;"'"&amp;"!B:B"))</f>
        <v>106</v>
      </c>
      <c r="D19" s="1517">
        <f ca="1">SUMIF(INDIRECT("'"&amp;D4&amp;"'"&amp;"!A:A"),结果表!B19,INDIRECT("'"&amp;D4&amp;"'"&amp;"!B:B"))</f>
        <v>106</v>
      </c>
      <c r="E19" s="2510" t="s">
        <v>793</v>
      </c>
      <c r="F19" s="2511" t="s">
        <v>792</v>
      </c>
      <c r="G19" s="2513">
        <f ca="1">ROUND(C19*$C$18+D19*$D$18,0)</f>
        <v>106</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spans="1:9">
      <c r="A20" s="2515"/>
      <c r="B20" s="2516" t="s">
        <v>795</v>
      </c>
      <c r="C20" s="1823">
        <f>典型户型修正!R24</f>
        <v>16500</v>
      </c>
      <c r="D20" s="1826">
        <f>C20</f>
        <v>16500</v>
      </c>
      <c r="E20" s="2515"/>
      <c r="F20" s="2516" t="s">
        <v>795</v>
      </c>
      <c r="G20" s="2517">
        <f>ROUND(C20*$C$18+D20*$D$18,0)</f>
        <v>16500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spans="1:9">
      <c r="A32" s="2538" t="s">
        <v>807</v>
      </c>
      <c r="B32" s="2539"/>
      <c r="C32" s="2540">
        <f ca="1">IF(D32="总价",G19-C24,G20-C25)</f>
        <v>16500</v>
      </c>
      <c r="D32" s="2541" t="s">
        <v>808</v>
      </c>
      <c r="E32" s="1036"/>
      <c r="F32" s="1036"/>
      <c r="G32" s="1036"/>
      <c r="H32" s="1036"/>
      <c r="I32" s="1036"/>
    </row>
    <row r="33"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106</v>
      </c>
      <c r="D102" s="2750">
        <f ca="1">IF(D32="楼面单价",ROUND(D19,0),D19)</f>
        <v>106</v>
      </c>
      <c r="E102" s="2751"/>
      <c r="F102" s="2752"/>
      <c r="G102" s="2753" t="s">
        <v>99</v>
      </c>
      <c r="H102" s="2620">
        <f ca="1">I118</f>
        <v>16500</v>
      </c>
      <c r="I102" s="1036"/>
    </row>
    <row r="103" ht="42.75" customHeight="1" spans="1:9">
      <c r="A103" s="2755"/>
      <c r="B103" s="2756" t="s">
        <v>99</v>
      </c>
      <c r="C103" s="2757">
        <f>C20</f>
        <v>16500</v>
      </c>
      <c r="D103" s="2758">
        <f>D20</f>
        <v>16500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16500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16500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16500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106</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16529</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16500</v>
      </c>
      <c r="S22" s="1047">
        <f>SUM(S24:S10000)</f>
        <v>106</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16500</v>
      </c>
      <c r="S24" s="1111">
        <f t="shared" ref="S24:S54" si="11">ROUND(R24*B24/10000,0)</f>
        <v>106</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5" spans="1:5">
      <c r="A6" s="3633"/>
      <c r="B6" s="3637"/>
      <c r="C6" s="3638" t="s">
        <v>98</v>
      </c>
      <c r="D6" s="3639" t="str">
        <f ca="1">NUMBERSTRING(INT(D5*10000),2)&amp;"元整"</f>
        <v>零元整</v>
      </c>
      <c r="E6" s="3633"/>
    </row>
    <row r="7" ht="15.5" spans="1:5">
      <c r="A7" s="3633"/>
      <c r="B7" s="3640"/>
      <c r="C7" s="3641" t="s">
        <v>99</v>
      </c>
      <c r="D7" s="3642">
        <f ca="1">结果表!H102</f>
        <v>16500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5" spans="1:5">
      <c r="A14" s="3633"/>
      <c r="B14" s="3637"/>
      <c r="C14" s="3638" t="s">
        <v>98</v>
      </c>
      <c r="D14" s="3639" t="str">
        <f ca="1">NUMBERSTRING(INT(D13*10000),2)&amp;"元整"</f>
        <v>零元整</v>
      </c>
      <c r="E14" s="3633"/>
    </row>
    <row r="15" ht="15.5" spans="1:5">
      <c r="A15" s="3633"/>
      <c r="B15" s="3640"/>
      <c r="C15" s="3641" t="s">
        <v>99</v>
      </c>
      <c r="D15" s="3652">
        <f ca="1">结果表!H108</f>
        <v>16500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16500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2024-07-19T06:26:46Z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