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9" activeTab="11"/>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面积表"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土地比较法-住宅、综合" sheetId="39" r:id="rId21"/>
    <sheet name="假设开发法" sheetId="12" r:id="rId22"/>
    <sheet name="收益法 (售楼处)" sheetId="81" r:id="rId23"/>
    <sheet name="收益法 (底商)" sheetId="80" r:id="rId24"/>
    <sheet name="收益法" sheetId="15" r:id="rId25"/>
    <sheet name="比较法-住宅 (2)" sheetId="79" r:id="rId26"/>
    <sheet name="比较法-住宅" sheetId="21" r:id="rId27"/>
    <sheet name="成本法 (元)" sheetId="69" state="hidden" r:id="rId28"/>
    <sheet name="收益法 (元)" sheetId="67" state="hidden" r:id="rId29"/>
    <sheet name="收益法（汇总）" sheetId="70" state="hidden" r:id="rId30"/>
    <sheet name="酒店收入计算" sheetId="66"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住宅案例" sheetId="78" r:id="rId49"/>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26" hidden="1">'比较法-住宅'!$A$1:$L$49</definedName>
    <definedName name="_xlnm._FilterDatabase" localSheetId="25" hidden="1">'比较法-住宅 (2)'!$A$1:$L$49</definedName>
    <definedName name="_xlnm._FilterDatabase" localSheetId="12" hidden="1">'数据-基础表'!$A$12:$AT$587</definedName>
    <definedName name="_xlnm._FilterDatabase" localSheetId="36"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3">'收益法 (底商)'!$A$1:$AK$69</definedName>
    <definedName name="_xlnm.Print_Area" localSheetId="22">'收益法 (售楼处)'!$A$1:$AK$69</definedName>
    <definedName name="_xlnm.Print_Area" localSheetId="28">'收益法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5">'比较法-住宅 (2)'!$B$88:$M$88</definedName>
    <definedName name="住宅朝向">'比较法-住宅'!$B$88:$M$88</definedName>
    <definedName name="住宅房型" localSheetId="25">'比较法-住宅 (2)'!$B$118:$M$118</definedName>
    <definedName name="住宅房型">'比较法-住宅'!$B$118:$M$118</definedName>
    <definedName name="住宅公共部分装修" localSheetId="25">'比较法-住宅 (2)'!$B$109:$M$109</definedName>
    <definedName name="住宅公共部分装修">'比较法-住宅'!$B$109:$M$109</definedName>
    <definedName name="住宅基础设施水平" localSheetId="25">'比较法-住宅 (2)'!$B$116:$M$116</definedName>
    <definedName name="住宅基础设施水平">'比较法-住宅'!$B$116:$M$116</definedName>
    <definedName name="住宅建筑结构" localSheetId="25">'比较法-住宅 (2)'!$B$105:$M$105</definedName>
    <definedName name="住宅建筑结构">'比较法-住宅'!$B$105:$M$105</definedName>
    <definedName name="住宅建筑类型" localSheetId="25">'比较法-住宅 (2)'!$B$100:$M$100</definedName>
    <definedName name="住宅建筑类型">'比较法-住宅'!$B$100:$M$100</definedName>
    <definedName name="住宅建筑品质" localSheetId="25">'比较法-住宅 (2)'!$B$107:$M$107</definedName>
    <definedName name="住宅建筑品质">'比较法-住宅'!$B$107:$M$107</definedName>
    <definedName name="住宅交易情况" localSheetId="25">'比较法-住宅 (2)'!$A$61:$M$61</definedName>
    <definedName name="住宅交易情况">'比较法-住宅'!$A$61:$M$61</definedName>
    <definedName name="住宅楼层" localSheetId="25">'比较法-住宅 (2)'!$B$86:$M$86</definedName>
    <definedName name="住宅楼层">'比较法-住宅'!$B$86:$M$86</definedName>
    <definedName name="住宅内部装修" localSheetId="25">'比较法-住宅 (2)'!$B$122:$M$122</definedName>
    <definedName name="住宅内部装修">'比较法-住宅'!$B$122:$M$122</definedName>
    <definedName name="住宅物业管理" localSheetId="25">'比较法-住宅 (2)'!$B$114:$M$114</definedName>
    <definedName name="住宅物业管理">'比较法-住宅'!$B$114:$M$114</definedName>
    <definedName name="住宅用途" localSheetId="25">'比较法-住宅 (2)'!$B$63:$M$63</definedName>
    <definedName name="住宅用途">'比较法-住宅'!$B$63:$M$63</definedName>
    <definedName name="住宅主力户型面积" localSheetId="25">'比较法-住宅 (2)'!$B$120:$M$120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O21" i="3" l="1"/>
  <c r="F24" i="6" s="1"/>
  <c r="Q72" i="81" l="1"/>
  <c r="Q59" i="81"/>
  <c r="K59" i="81"/>
  <c r="P74" i="81" s="1"/>
  <c r="F59" i="81"/>
  <c r="Q58" i="81"/>
  <c r="Q51" i="81"/>
  <c r="J50" i="81"/>
  <c r="M47" i="81"/>
  <c r="D46" i="81"/>
  <c r="F33" i="81"/>
  <c r="F61" i="81" s="1"/>
  <c r="F31" i="81"/>
  <c r="F23" i="81"/>
  <c r="F21" i="81"/>
  <c r="F20" i="81"/>
  <c r="M19" i="81"/>
  <c r="F18" i="81"/>
  <c r="M17" i="81"/>
  <c r="F17" i="81"/>
  <c r="F15" i="81"/>
  <c r="D23" i="81" l="1"/>
  <c r="D22" i="81"/>
  <c r="D24" i="81"/>
  <c r="P61" i="81"/>
  <c r="AH16" i="3"/>
  <c r="E9" i="6" s="1"/>
  <c r="AJ16" i="3"/>
  <c r="D10" i="77"/>
  <c r="I10" i="77"/>
  <c r="N5" i="77"/>
  <c r="AN16" i="3" s="1"/>
  <c r="C9" i="77"/>
  <c r="C8" i="77"/>
  <c r="C7" i="77"/>
  <c r="C6" i="77"/>
  <c r="C5" i="77"/>
  <c r="J11" i="77"/>
  <c r="O17" i="3" s="1"/>
  <c r="F23" i="6" s="1"/>
  <c r="H10" i="77"/>
  <c r="H5" i="77"/>
  <c r="B14" i="77"/>
  <c r="L14" i="3" l="1"/>
  <c r="AF16" i="3"/>
  <c r="M5" i="77"/>
  <c r="K14" i="3" s="1"/>
  <c r="G22" i="6" s="1"/>
  <c r="I9" i="77"/>
  <c r="AD16" i="3"/>
  <c r="Q72" i="80"/>
  <c r="Q59" i="80"/>
  <c r="K59" i="80"/>
  <c r="P74" i="80" s="1"/>
  <c r="F59" i="80"/>
  <c r="Q58" i="80"/>
  <c r="Q51" i="80"/>
  <c r="J50" i="80"/>
  <c r="M47" i="80"/>
  <c r="D46" i="80"/>
  <c r="F33" i="80"/>
  <c r="F61" i="80" s="1"/>
  <c r="F31" i="80"/>
  <c r="F23" i="80"/>
  <c r="D24" i="80" s="1"/>
  <c r="F21" i="80"/>
  <c r="F20" i="80"/>
  <c r="M19" i="80"/>
  <c r="F18" i="80"/>
  <c r="M17" i="80"/>
  <c r="F17" i="80"/>
  <c r="F15" i="80"/>
  <c r="H7" i="77"/>
  <c r="H6" i="77"/>
  <c r="I11" i="77" l="1"/>
  <c r="L5" i="77"/>
  <c r="P61" i="80"/>
  <c r="D22" i="80"/>
  <c r="D23" i="80"/>
  <c r="C10" i="77"/>
  <c r="C14" i="77" s="1"/>
  <c r="C20" i="77" l="1"/>
  <c r="M6" i="77"/>
  <c r="H9" i="77"/>
  <c r="L6" i="77" l="1"/>
  <c r="H11" i="77"/>
  <c r="C145" i="79"/>
  <c r="K139" i="79" s="1"/>
  <c r="J142" i="79"/>
  <c r="J140" i="79"/>
  <c r="B130" i="79"/>
  <c r="B128" i="79"/>
  <c r="B126" i="79"/>
  <c r="D125" i="79"/>
  <c r="E125" i="79" s="1"/>
  <c r="F125" i="79" s="1"/>
  <c r="G125" i="79" s="1"/>
  <c r="D123" i="79"/>
  <c r="E123" i="79" s="1"/>
  <c r="F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H111" i="79"/>
  <c r="G111" i="79"/>
  <c r="F111" i="79"/>
  <c r="E111" i="79"/>
  <c r="D111" i="79"/>
  <c r="C111" i="79"/>
  <c r="D110" i="79"/>
  <c r="E110" i="79" s="1"/>
  <c r="F110" i="79" s="1"/>
  <c r="G110" i="79" s="1"/>
  <c r="H110" i="79" s="1"/>
  <c r="I110" i="79" s="1"/>
  <c r="J110" i="79" s="1"/>
  <c r="K110" i="79" s="1"/>
  <c r="L110" i="79" s="1"/>
  <c r="M110" i="79" s="1"/>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B90" i="79"/>
  <c r="D89" i="79"/>
  <c r="E89" i="79" s="1"/>
  <c r="F89" i="79" s="1"/>
  <c r="G89" i="79" s="1"/>
  <c r="H89" i="79" s="1"/>
  <c r="I89" i="79" s="1"/>
  <c r="J89" i="79" s="1"/>
  <c r="K89" i="79" s="1"/>
  <c r="L89" i="79" s="1"/>
  <c r="M89" i="79" s="1"/>
  <c r="M87" i="79"/>
  <c r="L87" i="79"/>
  <c r="K87" i="79"/>
  <c r="J87" i="79"/>
  <c r="I87" i="79"/>
  <c r="H87" i="79"/>
  <c r="G87" i="79"/>
  <c r="F87" i="79"/>
  <c r="E87" i="79"/>
  <c r="D87" i="79"/>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D66" i="79"/>
  <c r="E66" i="79" s="1"/>
  <c r="F66" i="79" s="1"/>
  <c r="G66" i="79" s="1"/>
  <c r="H66" i="79" s="1"/>
  <c r="I66" i="79" s="1"/>
  <c r="C63" i="79"/>
  <c r="I54" i="79"/>
  <c r="J54" i="79" s="1"/>
  <c r="G54" i="79"/>
  <c r="H54" i="79" s="1"/>
  <c r="E54" i="79"/>
  <c r="F54" i="79" s="1"/>
  <c r="P49" i="79"/>
  <c r="P48" i="79"/>
  <c r="V47" i="79"/>
  <c r="T47" i="79"/>
  <c r="R47" i="79"/>
  <c r="P47" i="79"/>
  <c r="Q46" i="79"/>
  <c r="Z46" i="79" s="1"/>
  <c r="J46" i="79"/>
  <c r="AC46" i="79" s="1"/>
  <c r="H46" i="79"/>
  <c r="AB46" i="79" s="1"/>
  <c r="F46" i="79"/>
  <c r="AA46" i="79" s="1"/>
  <c r="Q45" i="79"/>
  <c r="Z45" i="79" s="1"/>
  <c r="J45" i="79"/>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W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Q10" i="79"/>
  <c r="Z10" i="79" s="1"/>
  <c r="J10" i="79"/>
  <c r="AC10" i="79" s="1"/>
  <c r="H10" i="79"/>
  <c r="AB10" i="79" s="1"/>
  <c r="F10" i="79"/>
  <c r="AA10" i="79" s="1"/>
  <c r="Q9" i="79"/>
  <c r="Z9" i="79" s="1"/>
  <c r="J9" i="79"/>
  <c r="AC9" i="79" s="1"/>
  <c r="H9" i="79"/>
  <c r="AB9" i="79" s="1"/>
  <c r="F9" i="79"/>
  <c r="AA9" i="79" s="1"/>
  <c r="J8" i="79"/>
  <c r="AC8" i="79" s="1"/>
  <c r="H8" i="79"/>
  <c r="U8" i="79" s="1"/>
  <c r="F8" i="79"/>
  <c r="AA8" i="79" s="1"/>
  <c r="D2" i="79"/>
  <c r="K143" i="79" l="1"/>
  <c r="G123" i="79"/>
  <c r="H123" i="79" s="1"/>
  <c r="I123" i="79" s="1"/>
  <c r="J123" i="79" s="1"/>
  <c r="K123" i="79" s="1"/>
  <c r="L123" i="79" s="1"/>
  <c r="M123" i="79" s="1"/>
  <c r="F42" i="79"/>
  <c r="AA42" i="79" s="1"/>
  <c r="H42" i="79"/>
  <c r="AB42" i="79" s="1"/>
  <c r="AC17" i="79"/>
  <c r="K145" i="79"/>
  <c r="S8" i="79"/>
  <c r="W8" i="79"/>
  <c r="AB8" i="79"/>
  <c r="S9" i="79"/>
  <c r="W9" i="79"/>
  <c r="U10" i="79"/>
  <c r="S12" i="79"/>
  <c r="W12" i="79"/>
  <c r="U13" i="79"/>
  <c r="S14" i="79"/>
  <c r="W14" i="79"/>
  <c r="S15" i="79"/>
  <c r="W15" i="79"/>
  <c r="S17" i="79"/>
  <c r="W19" i="79"/>
  <c r="U9" i="79"/>
  <c r="S10" i="79"/>
  <c r="W10" i="79"/>
  <c r="U12" i="79"/>
  <c r="S13" i="79"/>
  <c r="W13" i="79"/>
  <c r="U14" i="79"/>
  <c r="U15" i="79"/>
  <c r="U17" i="79"/>
  <c r="S19" i="79"/>
  <c r="U19" i="79"/>
  <c r="U21" i="79"/>
  <c r="U23" i="79"/>
  <c r="S25" i="79"/>
  <c r="W25" i="79"/>
  <c r="U26" i="79"/>
  <c r="S27" i="79"/>
  <c r="W27" i="79"/>
  <c r="U28" i="79"/>
  <c r="S29" i="79"/>
  <c r="W29" i="79"/>
  <c r="U30" i="79"/>
  <c r="S31" i="79"/>
  <c r="W31" i="79"/>
  <c r="U32" i="79"/>
  <c r="S34" i="79"/>
  <c r="W34" i="79"/>
  <c r="U35" i="79"/>
  <c r="S36" i="79"/>
  <c r="W36" i="79"/>
  <c r="U37" i="79"/>
  <c r="S38" i="79"/>
  <c r="W38" i="79"/>
  <c r="U39" i="79"/>
  <c r="S40" i="79"/>
  <c r="W40" i="79"/>
  <c r="U41" i="79"/>
  <c r="S42" i="79"/>
  <c r="W42" i="79"/>
  <c r="U43" i="79"/>
  <c r="S44" i="79"/>
  <c r="W44" i="79"/>
  <c r="U45" i="79"/>
  <c r="S21" i="79"/>
  <c r="W21" i="79"/>
  <c r="S23" i="79"/>
  <c r="W23" i="79"/>
  <c r="U25" i="79"/>
  <c r="S26" i="79"/>
  <c r="W26" i="79"/>
  <c r="U27" i="79"/>
  <c r="S28" i="79"/>
  <c r="W28" i="79"/>
  <c r="U29" i="79"/>
  <c r="S30" i="79"/>
  <c r="W30" i="79"/>
  <c r="U31" i="79"/>
  <c r="S32" i="79"/>
  <c r="W32" i="79"/>
  <c r="U34" i="79"/>
  <c r="S35" i="79"/>
  <c r="W35" i="79"/>
  <c r="U36" i="79"/>
  <c r="S37" i="79"/>
  <c r="W37" i="79"/>
  <c r="U38" i="79"/>
  <c r="S39" i="79"/>
  <c r="W39" i="79"/>
  <c r="U40" i="79"/>
  <c r="S41" i="79"/>
  <c r="W41" i="79"/>
  <c r="U42" i="79"/>
  <c r="S43" i="79"/>
  <c r="W43" i="79"/>
  <c r="U44" i="79"/>
  <c r="AC45" i="79"/>
  <c r="W45" i="79"/>
  <c r="S45" i="79"/>
  <c r="S46" i="79"/>
  <c r="W46" i="79"/>
  <c r="K141" i="79"/>
  <c r="U46" i="79"/>
  <c r="K144" i="79"/>
  <c r="I7" i="39" l="1"/>
  <c r="G7" i="39"/>
  <c r="J19" i="3" l="1"/>
  <c r="M20" i="3"/>
  <c r="G21" i="6" s="1"/>
  <c r="M15" i="3"/>
  <c r="J13" i="3"/>
  <c r="I13" i="3"/>
  <c r="F19" i="6" s="1"/>
  <c r="I19" i="3"/>
  <c r="F20" i="6" s="1"/>
  <c r="AL18" i="3"/>
  <c r="A3" i="3"/>
  <c r="C38" i="39" s="1"/>
  <c r="C11" i="4"/>
  <c r="D3" i="4"/>
  <c r="I5" i="71" l="1"/>
  <c r="I4" i="71" s="1"/>
  <c r="N4" i="71" s="1"/>
  <c r="L5" i="71"/>
  <c r="K5" i="71"/>
  <c r="J5" i="71"/>
  <c r="N5" i="71"/>
  <c r="P5" i="71" l="1"/>
  <c r="K4" i="71"/>
  <c r="P4" i="71" s="1"/>
  <c r="O5" i="71"/>
  <c r="J4" i="71"/>
  <c r="O4" i="71" s="1"/>
  <c r="Q5" i="71"/>
  <c r="L4" i="71"/>
  <c r="Q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B10" i="76"/>
  <c r="E7" i="76"/>
  <c r="B7" i="76"/>
  <c r="E11" i="76"/>
  <c r="B9" i="76"/>
  <c r="E8" i="76"/>
  <c r="B11" i="76"/>
  <c r="E9" i="76"/>
  <c r="E13" i="76"/>
  <c r="E12" i="76"/>
  <c r="B8" i="76"/>
  <c r="E10" i="76"/>
  <c r="B13" i="76"/>
  <c r="B12"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4" i="73"/>
  <c r="F5" i="73"/>
  <c r="D5" i="73"/>
  <c r="F3" i="73"/>
  <c r="F6" i="73"/>
  <c r="I1" i="73" l="1"/>
  <c r="B39" i="1" s="1"/>
  <c r="D7" i="73"/>
  <c r="D4" i="73"/>
  <c r="D6" i="73"/>
  <c r="D3" i="73"/>
  <c r="F11" i="81" l="1"/>
  <c r="M11" i="81"/>
  <c r="F11" i="80"/>
  <c r="M11" i="80"/>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1" l="1"/>
  <c r="C53" i="80"/>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A9" i="70"/>
  <c r="E9" i="70" s="1"/>
  <c r="A10" i="70"/>
  <c r="A11" i="70"/>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D83" i="21"/>
  <c r="F21" i="21" s="1"/>
  <c r="AA21" i="21" s="1"/>
  <c r="D81" i="21"/>
  <c r="H19" i="21" s="1"/>
  <c r="G20" i="20"/>
  <c r="B86" i="43" s="1"/>
  <c r="C22" i="20"/>
  <c r="AO13" i="1"/>
  <c r="AO9" i="1"/>
  <c r="AO12" i="1"/>
  <c r="B13" i="70" l="1"/>
  <c r="B12"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1" s="1"/>
  <c r="F15" i="4"/>
  <c r="F12" i="1"/>
  <c r="F13" i="1"/>
  <c r="D6" i="1"/>
  <c r="D9" i="1"/>
  <c r="D10" i="1"/>
  <c r="D11" i="1"/>
  <c r="D12" i="1"/>
  <c r="D13" i="1"/>
  <c r="D7" i="1"/>
  <c r="D8" i="1"/>
  <c r="A7" i="1"/>
  <c r="A8" i="1"/>
  <c r="B8" i="1" s="1"/>
  <c r="E8" i="1" s="1"/>
  <c r="A9" i="1"/>
  <c r="A10" i="1"/>
  <c r="A11" i="1"/>
  <c r="A12" i="1"/>
  <c r="A13" i="1"/>
  <c r="A6" i="1"/>
  <c r="B11" i="1"/>
  <c r="E11" i="1" s="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I15" i="4"/>
  <c r="H15" i="4"/>
  <c r="G15" i="4"/>
  <c r="F8" i="1" s="1"/>
  <c r="G8" i="1" s="1"/>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D3" i="79" s="1"/>
  <c r="E21" i="6"/>
  <c r="K8" i="1" s="1"/>
  <c r="F23" i="15"/>
  <c r="D24" i="15" s="1"/>
  <c r="E22" i="6"/>
  <c r="E23" i="6"/>
  <c r="K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F36" i="39" s="1"/>
  <c r="J30" i="36"/>
  <c r="AC30" i="36" s="1"/>
  <c r="H30" i="36"/>
  <c r="F30" i="36"/>
  <c r="AA30" i="36" s="1"/>
  <c r="C26" i="35"/>
  <c r="C79" i="35" s="1"/>
  <c r="J31" i="35"/>
  <c r="W31" i="35" s="1"/>
  <c r="H31" i="35"/>
  <c r="U31" i="35" s="1"/>
  <c r="F31" i="35"/>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U42" i="34" s="1"/>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J27" i="39" s="1"/>
  <c r="AC27"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D93" i="39"/>
  <c r="E93" i="39" s="1"/>
  <c r="F93" i="39" s="1"/>
  <c r="G93" i="39" s="1"/>
  <c r="D91" i="39"/>
  <c r="E91" i="39" s="1"/>
  <c r="D89" i="39"/>
  <c r="E89" i="39" s="1"/>
  <c r="F89" i="39" s="1"/>
  <c r="G89" i="39" s="1"/>
  <c r="B86" i="39"/>
  <c r="F14" i="39" s="1"/>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J13" i="36" s="1"/>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Q9" i="36"/>
  <c r="Z9" i="36" s="1"/>
  <c r="J9" i="36"/>
  <c r="AC9" i="36" s="1"/>
  <c r="H9" i="36"/>
  <c r="AB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AC22" i="35" s="1"/>
  <c r="B101" i="35"/>
  <c r="B99" i="35"/>
  <c r="B97" i="35"/>
  <c r="H34" i="35" s="1"/>
  <c r="AB34" i="35" s="1"/>
  <c r="B77" i="35"/>
  <c r="B75" i="35"/>
  <c r="J24" i="35" s="1"/>
  <c r="AC24" i="35" s="1"/>
  <c r="B73" i="35"/>
  <c r="B57" i="35"/>
  <c r="J11" i="35" s="1"/>
  <c r="B61" i="35"/>
  <c r="B59" i="35"/>
  <c r="B131" i="34"/>
  <c r="B129" i="34"/>
  <c r="B127" i="34"/>
  <c r="B99" i="34"/>
  <c r="F32" i="34" s="1"/>
  <c r="B97" i="34"/>
  <c r="B95" i="34"/>
  <c r="B93" i="34"/>
  <c r="B75" i="34"/>
  <c r="F14" i="34" s="1"/>
  <c r="S14" i="34" s="1"/>
  <c r="B73" i="34"/>
  <c r="B71" i="34"/>
  <c r="B130" i="33"/>
  <c r="B128" i="33"/>
  <c r="B126" i="33"/>
  <c r="B98" i="33"/>
  <c r="H31" i="33" s="1"/>
  <c r="AB31" i="33" s="1"/>
  <c r="B96" i="33"/>
  <c r="B94" i="33"/>
  <c r="B74" i="33"/>
  <c r="B72" i="33"/>
  <c r="H13" i="33" s="1"/>
  <c r="AB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F9" i="34"/>
  <c r="AA9" i="34" s="1"/>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C17" i="20"/>
  <c r="B59" i="43" s="1"/>
  <c r="C16" i="20"/>
  <c r="C17" i="39" s="1"/>
  <c r="C15" i="20"/>
  <c r="B70" i="43" s="1"/>
  <c r="E54" i="21"/>
  <c r="F54" i="21" s="1"/>
  <c r="I54" i="21"/>
  <c r="J54" i="21" s="1"/>
  <c r="G54" i="21"/>
  <c r="H54" i="21" s="1"/>
  <c r="D125" i="21"/>
  <c r="E125" i="21" s="1"/>
  <c r="F125" i="21" s="1"/>
  <c r="G125" i="21" s="1"/>
  <c r="D123" i="21"/>
  <c r="E123" i="21" s="1"/>
  <c r="F123"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W46" i="21" s="1"/>
  <c r="B128" i="21"/>
  <c r="J45" i="21" s="1"/>
  <c r="W45" i="21" s="1"/>
  <c r="B126" i="21"/>
  <c r="B98" i="21"/>
  <c r="H31" i="21" s="1"/>
  <c r="B96" i="21"/>
  <c r="F30" i="21" s="1"/>
  <c r="S30" i="21" s="1"/>
  <c r="B94" i="21"/>
  <c r="J29" i="21" s="1"/>
  <c r="AC29" i="21" s="1"/>
  <c r="B92" i="21"/>
  <c r="B90" i="21"/>
  <c r="J27" i="21" s="1"/>
  <c r="W27" i="21" s="1"/>
  <c r="B74" i="21"/>
  <c r="F14" i="21" s="1"/>
  <c r="S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D7" i="12"/>
  <c r="D8" i="12" s="1"/>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J26" i="21"/>
  <c r="W26" i="21" s="1"/>
  <c r="F26" i="21"/>
  <c r="S26" i="21" s="1"/>
  <c r="AB41" i="21"/>
  <c r="S41" i="21"/>
  <c r="AA41" i="21"/>
  <c r="J44" i="39"/>
  <c r="AC44" i="39" s="1"/>
  <c r="H36" i="39"/>
  <c r="AB36" i="39" s="1"/>
  <c r="J35" i="39"/>
  <c r="AC35" i="39" s="1"/>
  <c r="W40" i="39"/>
  <c r="U30" i="37"/>
  <c r="W31" i="37"/>
  <c r="E103" i="37"/>
  <c r="F103" i="37" s="1"/>
  <c r="G103" i="37" s="1"/>
  <c r="H103" i="37" s="1"/>
  <c r="I103" i="37" s="1"/>
  <c r="J103" i="37" s="1"/>
  <c r="K103" i="37" s="1"/>
  <c r="L103" i="37" s="1"/>
  <c r="M103" i="37" s="1"/>
  <c r="F29" i="36"/>
  <c r="AA29" i="36" s="1"/>
  <c r="W8" i="36"/>
  <c r="F16" i="36"/>
  <c r="AA16" i="36" s="1"/>
  <c r="U9" i="36"/>
  <c r="S30" i="36"/>
  <c r="U31" i="36"/>
  <c r="J33" i="36"/>
  <c r="W33" i="36" s="1"/>
  <c r="H22" i="35"/>
  <c r="AB22" i="35" s="1"/>
  <c r="W28" i="35"/>
  <c r="W34" i="35"/>
  <c r="S31" i="35"/>
  <c r="F36" i="34"/>
  <c r="J35" i="34"/>
  <c r="S34" i="34"/>
  <c r="U34" i="34"/>
  <c r="H39" i="33"/>
  <c r="AB39" i="33" s="1"/>
  <c r="S40" i="33"/>
  <c r="W33" i="33"/>
  <c r="W39" i="33"/>
  <c r="F11" i="40"/>
  <c r="AA11" i="40" s="1"/>
  <c r="H11" i="40"/>
  <c r="AB11" i="40" s="1"/>
  <c r="W8" i="40"/>
  <c r="AA9" i="40"/>
  <c r="S34" i="40"/>
  <c r="F42" i="39"/>
  <c r="AA42" i="39" s="1"/>
  <c r="F41" i="39"/>
  <c r="S41" i="39" s="1"/>
  <c r="H40" i="39"/>
  <c r="AB40" i="39" s="1"/>
  <c r="H39" i="39"/>
  <c r="U39" i="39" s="1"/>
  <c r="S38" i="39"/>
  <c r="H34" i="39"/>
  <c r="U34" i="39" s="1"/>
  <c r="E101" i="39"/>
  <c r="F101" i="39" s="1"/>
  <c r="H19" i="39"/>
  <c r="AB19" i="39" s="1"/>
  <c r="F19" i="39"/>
  <c r="AA19" i="39" s="1"/>
  <c r="J23" i="40"/>
  <c r="AC23" i="40" s="1"/>
  <c r="F21" i="40"/>
  <c r="AA21" i="40" s="1"/>
  <c r="J21" i="40"/>
  <c r="W21" i="40" s="1"/>
  <c r="H42" i="39"/>
  <c r="AB42" i="39" s="1"/>
  <c r="J34" i="39"/>
  <c r="AC34" i="39" s="1"/>
  <c r="J31" i="39"/>
  <c r="H27" i="39"/>
  <c r="U27" i="39" s="1"/>
  <c r="J19" i="39"/>
  <c r="AC19" i="39" s="1"/>
  <c r="J17" i="39"/>
  <c r="F27" i="39"/>
  <c r="U34" i="21"/>
  <c r="S34" i="21"/>
  <c r="C25" i="39"/>
  <c r="C15" i="39"/>
  <c r="H32" i="33"/>
  <c r="AB32" i="33" s="1"/>
  <c r="H37" i="40"/>
  <c r="U37" i="40" s="1"/>
  <c r="H36" i="40"/>
  <c r="AB36" i="40" s="1"/>
  <c r="F35" i="40"/>
  <c r="AA35" i="40" s="1"/>
  <c r="H23" i="40"/>
  <c r="AB23" i="40" s="1"/>
  <c r="H17" i="40"/>
  <c r="U17" i="40" s="1"/>
  <c r="J15" i="40"/>
  <c r="W15" i="40" s="1"/>
  <c r="J11" i="40"/>
  <c r="W11" i="40" s="1"/>
  <c r="AB12" i="35"/>
  <c r="J34" i="36"/>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AB8" i="36"/>
  <c r="F14" i="35"/>
  <c r="AA14"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J33" i="37"/>
  <c r="H40" i="34"/>
  <c r="U40" i="34" s="1"/>
  <c r="H36" i="34"/>
  <c r="U36" i="34" s="1"/>
  <c r="F37" i="34"/>
  <c r="AA37" i="34" s="1"/>
  <c r="S35" i="34"/>
  <c r="F25" i="34"/>
  <c r="S25" i="34" s="1"/>
  <c r="H23" i="34"/>
  <c r="U23" i="34" s="1"/>
  <c r="J23" i="34"/>
  <c r="F19" i="34"/>
  <c r="H17" i="34"/>
  <c r="U17" i="34" s="1"/>
  <c r="F15" i="34"/>
  <c r="S15" i="34" s="1"/>
  <c r="J15" i="34"/>
  <c r="H15" i="34"/>
  <c r="AB15" i="34" s="1"/>
  <c r="S9" i="34"/>
  <c r="W8" i="34"/>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U40" i="33"/>
  <c r="W40" i="33"/>
  <c r="U8" i="33"/>
  <c r="F37" i="40"/>
  <c r="AA37" i="40" s="1"/>
  <c r="F36" i="40"/>
  <c r="AA36" i="40" s="1"/>
  <c r="H28" i="40"/>
  <c r="U28" i="40" s="1"/>
  <c r="F23" i="40"/>
  <c r="AA23" i="40" s="1"/>
  <c r="F17" i="40"/>
  <c r="AA17" i="40" s="1"/>
  <c r="J17" i="40"/>
  <c r="W17" i="40" s="1"/>
  <c r="F15" i="40"/>
  <c r="S15" i="40" s="1"/>
  <c r="H15" i="40"/>
  <c r="AB15" i="40" s="1"/>
  <c r="AC11" i="40"/>
  <c r="AB30" i="36"/>
  <c r="U30" i="35"/>
  <c r="F29" i="35"/>
  <c r="H29" i="35"/>
  <c r="AB29" i="35" s="1"/>
  <c r="H33" i="37"/>
  <c r="AB33" i="37" s="1"/>
  <c r="F33" i="37"/>
  <c r="AA33" i="37" s="1"/>
  <c r="U34" i="37"/>
  <c r="S34" i="37"/>
  <c r="J43" i="34"/>
  <c r="J40" i="34"/>
  <c r="H38" i="34"/>
  <c r="AB38" i="34" s="1"/>
  <c r="J36" i="34"/>
  <c r="W36" i="34" s="1"/>
  <c r="H37" i="34"/>
  <c r="U37" i="34" s="1"/>
  <c r="H25" i="34"/>
  <c r="AB25" i="34" s="1"/>
  <c r="J25" i="34"/>
  <c r="AC25" i="34" s="1"/>
  <c r="AB23" i="34"/>
  <c r="F23" i="34"/>
  <c r="AA23" i="34" s="1"/>
  <c r="J19" i="34"/>
  <c r="AC19" i="34" s="1"/>
  <c r="F17" i="34"/>
  <c r="AA17" i="34" s="1"/>
  <c r="J17" i="34"/>
  <c r="W17" i="34" s="1"/>
  <c r="AA15" i="34"/>
  <c r="S41" i="33"/>
  <c r="H37" i="33"/>
  <c r="AB37" i="33" s="1"/>
  <c r="H15" i="33"/>
  <c r="AB15" i="33" s="1"/>
  <c r="H11" i="33"/>
  <c r="AB11" i="33" s="1"/>
  <c r="F28" i="40"/>
  <c r="AA28" i="40" s="1"/>
  <c r="AA42" i="34"/>
  <c r="AC38" i="34"/>
  <c r="AA38" i="34"/>
  <c r="J37" i="34"/>
  <c r="AC37" i="34" s="1"/>
  <c r="J11" i="33"/>
  <c r="W11" i="33" s="1"/>
  <c r="U23" i="40"/>
  <c r="J42" i="21"/>
  <c r="AC42" i="21" s="1"/>
  <c r="J44" i="34"/>
  <c r="F44" i="34"/>
  <c r="AA44" i="34" s="1"/>
  <c r="J10" i="35"/>
  <c r="W10" i="35" s="1"/>
  <c r="J14" i="21"/>
  <c r="W14" i="21" s="1"/>
  <c r="H14" i="21"/>
  <c r="U14" i="21" s="1"/>
  <c r="F28" i="21"/>
  <c r="AA28" i="21" s="1"/>
  <c r="H30" i="21"/>
  <c r="U30" i="21" s="1"/>
  <c r="J30" i="21"/>
  <c r="AC30" i="21" s="1"/>
  <c r="H44" i="21"/>
  <c r="U44" i="21" s="1"/>
  <c r="H46" i="21"/>
  <c r="U46" i="21" s="1"/>
  <c r="F46" i="21"/>
  <c r="AA46" i="21" s="1"/>
  <c r="E119" i="21"/>
  <c r="F119" i="21" s="1"/>
  <c r="G119" i="21" s="1"/>
  <c r="H119" i="21" s="1"/>
  <c r="I119" i="21" s="1"/>
  <c r="J119" i="21" s="1"/>
  <c r="K119" i="21" s="1"/>
  <c r="L119" i="21" s="1"/>
  <c r="M119" i="21" s="1"/>
  <c r="H26" i="33"/>
  <c r="U26" i="33" s="1"/>
  <c r="F28" i="33"/>
  <c r="AA28" i="33" s="1"/>
  <c r="F33" i="35"/>
  <c r="S33" i="35" s="1"/>
  <c r="J33" i="35"/>
  <c r="AC33" i="35" s="1"/>
  <c r="F30" i="35"/>
  <c r="S30"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F13" i="33"/>
  <c r="S13" i="33" s="1"/>
  <c r="H29" i="33"/>
  <c r="U29" i="33" s="1"/>
  <c r="J31" i="33"/>
  <c r="W31" i="33" s="1"/>
  <c r="F31" i="33"/>
  <c r="J45" i="33"/>
  <c r="W45" i="33" s="1"/>
  <c r="J14" i="34"/>
  <c r="W14" i="34" s="1"/>
  <c r="H14" i="34"/>
  <c r="F30" i="34"/>
  <c r="S30" i="34" s="1"/>
  <c r="H32" i="34"/>
  <c r="J32" i="34"/>
  <c r="W32" i="34" s="1"/>
  <c r="F46" i="34"/>
  <c r="H11" i="35"/>
  <c r="U11" i="35" s="1"/>
  <c r="F11" i="35"/>
  <c r="S11" i="35" s="1"/>
  <c r="J26" i="36"/>
  <c r="W26" i="36" s="1"/>
  <c r="H28" i="36"/>
  <c r="U28" i="36" s="1"/>
  <c r="J32" i="36"/>
  <c r="W32" i="36" s="1"/>
  <c r="J11" i="36"/>
  <c r="AC11" i="36" s="1"/>
  <c r="H11" i="36"/>
  <c r="U11" i="36" s="1"/>
  <c r="F11" i="36"/>
  <c r="AA11" i="36" s="1"/>
  <c r="H13" i="36"/>
  <c r="AB13" i="36" s="1"/>
  <c r="F13" i="36"/>
  <c r="S13" i="36" s="1"/>
  <c r="J29" i="37"/>
  <c r="W29" i="37" s="1"/>
  <c r="F29" i="37"/>
  <c r="S29" i="37" s="1"/>
  <c r="H36" i="37"/>
  <c r="AB36" i="37" s="1"/>
  <c r="J37" i="37"/>
  <c r="AC37" i="37" s="1"/>
  <c r="H37" i="37"/>
  <c r="U37" i="37" s="1"/>
  <c r="J40" i="37"/>
  <c r="AC40" i="37" s="1"/>
  <c r="AC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H25" i="36"/>
  <c r="AB25" i="36" s="1"/>
  <c r="F13" i="37"/>
  <c r="S13" i="37" s="1"/>
  <c r="F28" i="37"/>
  <c r="AA28" i="37" s="1"/>
  <c r="J28" i="37"/>
  <c r="AC28" i="37" s="1"/>
  <c r="H28" i="37"/>
  <c r="U28" i="37" s="1"/>
  <c r="H38" i="37"/>
  <c r="AB38" i="37" s="1"/>
  <c r="J38" i="37"/>
  <c r="AC38" i="37" s="1"/>
  <c r="F38" i="37"/>
  <c r="S38" i="37" s="1"/>
  <c r="F43" i="39"/>
  <c r="AA43" i="39" s="1"/>
  <c r="J14" i="39"/>
  <c r="AC14" i="39" s="1"/>
  <c r="H14" i="39"/>
  <c r="AB14" i="39" s="1"/>
  <c r="H12" i="40"/>
  <c r="AB12" i="40" s="1"/>
  <c r="H30" i="40"/>
  <c r="AB30" i="40" s="1"/>
  <c r="F33" i="40"/>
  <c r="AA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6"/>
  <c r="J10" i="36"/>
  <c r="AC10" i="36" s="1"/>
  <c r="AB30" i="21"/>
  <c r="AA14" i="37"/>
  <c r="W31" i="34"/>
  <c r="W11" i="36"/>
  <c r="AA14" i="34"/>
  <c r="U31" i="33"/>
  <c r="U13" i="33"/>
  <c r="S44" i="34"/>
  <c r="BA586" i="3"/>
  <c r="BA585" i="3"/>
  <c r="F17" i="21"/>
  <c r="AA17" i="21" s="1"/>
  <c r="H17" i="21"/>
  <c r="AB17" i="21" s="1"/>
  <c r="F15" i="21"/>
  <c r="S15" i="21" s="1"/>
  <c r="J41" i="39"/>
  <c r="W41" i="39" s="1"/>
  <c r="W44"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AZ530" i="3" s="1"/>
  <c r="BA528" i="3"/>
  <c r="AZ528" i="3"/>
  <c r="BA526" i="3"/>
  <c r="AZ526" i="3"/>
  <c r="BA524" i="3"/>
  <c r="BA522" i="3"/>
  <c r="BA520" i="3"/>
  <c r="BA518" i="3"/>
  <c r="AZ518" i="3" s="1"/>
  <c r="BA516" i="3"/>
  <c r="BA514" i="3"/>
  <c r="AZ514" i="3" s="1"/>
  <c r="BA512" i="3"/>
  <c r="AZ512" i="3"/>
  <c r="BA510" i="3"/>
  <c r="AZ510" i="3"/>
  <c r="BA508" i="3"/>
  <c r="BA506" i="3"/>
  <c r="AZ506" i="3" s="1"/>
  <c r="BA504" i="3"/>
  <c r="AZ504" i="3"/>
  <c r="BA502" i="3"/>
  <c r="BA500" i="3"/>
  <c r="BA498" i="3"/>
  <c r="AZ498" i="3"/>
  <c r="BA496" i="3"/>
  <c r="BA494" i="3"/>
  <c r="AZ494" i="3" s="1"/>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AZ579" i="3" s="1"/>
  <c r="BQ577" i="3"/>
  <c r="BL577" i="3" s="1"/>
  <c r="BQ575" i="3"/>
  <c r="BL575" i="3" s="1"/>
  <c r="AZ575" i="3" s="1"/>
  <c r="BQ573" i="3"/>
  <c r="BL573" i="3" s="1"/>
  <c r="AZ573" i="3" s="1"/>
  <c r="BQ571" i="3"/>
  <c r="BL571" i="3"/>
  <c r="AZ571" i="3" s="1"/>
  <c r="BQ569" i="3"/>
  <c r="BL569" i="3" s="1"/>
  <c r="BQ567" i="3"/>
  <c r="BL567" i="3" s="1"/>
  <c r="AZ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s="1"/>
  <c r="AZ511" i="3" s="1"/>
  <c r="BA509" i="3"/>
  <c r="AC509" i="3"/>
  <c r="AC5" i="3" s="1"/>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s="1"/>
  <c r="BQ499" i="3"/>
  <c r="BL499" i="3" s="1"/>
  <c r="AZ499" i="3" s="1"/>
  <c r="BQ497" i="3"/>
  <c r="BL497" i="3" s="1"/>
  <c r="BQ495" i="3"/>
  <c r="BL495" i="3" s="1"/>
  <c r="AZ495" i="3" s="1"/>
  <c r="BQ493" i="3"/>
  <c r="BL493" i="3" s="1"/>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H43" i="33"/>
  <c r="AB43" i="33" s="1"/>
  <c r="H17" i="37"/>
  <c r="U17" i="37" s="1"/>
  <c r="U32" i="33"/>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3" i="36"/>
  <c r="U35" i="35"/>
  <c r="W23" i="35"/>
  <c r="W14" i="37"/>
  <c r="U33" i="37"/>
  <c r="W26" i="37"/>
  <c r="AC8" i="37"/>
  <c r="AB13" i="34"/>
  <c r="W37" i="34"/>
  <c r="AB37" i="34"/>
  <c r="AC36" i="34"/>
  <c r="AA13" i="33"/>
  <c r="AC45" i="33"/>
  <c r="W44" i="33"/>
  <c r="U11" i="33"/>
  <c r="U19" i="21"/>
  <c r="U26" i="21"/>
  <c r="AC46" i="21"/>
  <c r="AB38" i="21"/>
  <c r="F43" i="33"/>
  <c r="AA43" i="33" s="1"/>
  <c r="W15" i="34"/>
  <c r="AC15" i="34"/>
  <c r="W16" i="35"/>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AC13" i="40"/>
  <c r="G101" i="39"/>
  <c r="H37" i="39"/>
  <c r="AB37" i="39" s="1"/>
  <c r="AC37" i="39"/>
  <c r="W37" i="39"/>
  <c r="H25" i="39"/>
  <c r="AB25" i="39" s="1"/>
  <c r="J25" i="39"/>
  <c r="F25" i="39"/>
  <c r="AA25" i="39" s="1"/>
  <c r="F15" i="39"/>
  <c r="AA15" i="39" s="1"/>
  <c r="H15" i="39"/>
  <c r="U15" i="39" s="1"/>
  <c r="J15" i="39"/>
  <c r="W15" i="39" s="1"/>
  <c r="H41" i="39"/>
  <c r="W27" i="39"/>
  <c r="S42" i="39"/>
  <c r="AA41" i="39"/>
  <c r="W9" i="39"/>
  <c r="W8" i="39"/>
  <c r="J19" i="40"/>
  <c r="AC19" i="40" s="1"/>
  <c r="J50" i="40"/>
  <c r="B54" i="72"/>
  <c r="H103" i="9"/>
  <c r="D8" i="53" s="1"/>
  <c r="B16" i="53"/>
  <c r="B33" i="72" s="1"/>
  <c r="C7" i="37"/>
  <c r="C7" i="34"/>
  <c r="C7" i="36"/>
  <c r="A118" i="9"/>
  <c r="A4" i="52"/>
  <c r="B41" i="72" s="1"/>
  <c r="A12" i="52"/>
  <c r="B56" i="72" s="1"/>
  <c r="G4" i="4"/>
  <c r="I4" i="4"/>
  <c r="K5" i="4"/>
  <c r="B47" i="48" s="1"/>
  <c r="A2" i="9"/>
  <c r="N2" i="43"/>
  <c r="F59" i="43" s="1"/>
  <c r="AZ24" i="3"/>
  <c r="BL549" i="3"/>
  <c r="AZ549" i="3" s="1"/>
  <c r="AZ502" i="3"/>
  <c r="AZ522"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AZ393" i="3" s="1"/>
  <c r="BA394" i="3"/>
  <c r="BL394" i="3"/>
  <c r="G113" i="3"/>
  <c r="BA115" i="3"/>
  <c r="AZ115" i="3" s="1"/>
  <c r="BL116" i="3"/>
  <c r="G117" i="3"/>
  <c r="BA119" i="3"/>
  <c r="AZ119" i="3" s="1"/>
  <c r="BL120" i="3"/>
  <c r="AZ120" i="3" s="1"/>
  <c r="G121" i="3"/>
  <c r="BA123" i="3"/>
  <c r="AZ123" i="3" s="1"/>
  <c r="BL124" i="3"/>
  <c r="G125" i="3"/>
  <c r="BA127" i="3"/>
  <c r="BL128" i="3"/>
  <c r="G129" i="3"/>
  <c r="BA131" i="3"/>
  <c r="BL132" i="3"/>
  <c r="AZ132" i="3" s="1"/>
  <c r="G133" i="3"/>
  <c r="BA135" i="3"/>
  <c r="BL136" i="3"/>
  <c r="AZ136" i="3" s="1"/>
  <c r="G137" i="3"/>
  <c r="BA139" i="3"/>
  <c r="BL140" i="3"/>
  <c r="AZ140" i="3" s="1"/>
  <c r="G141" i="3"/>
  <c r="BA143" i="3"/>
  <c r="BL144" i="3"/>
  <c r="G145" i="3"/>
  <c r="BA147" i="3"/>
  <c r="AZ147" i="3" s="1"/>
  <c r="BL148" i="3"/>
  <c r="G149" i="3"/>
  <c r="BA151" i="3"/>
  <c r="AZ151" i="3" s="1"/>
  <c r="BL152" i="3"/>
  <c r="G153" i="3"/>
  <c r="BA155" i="3"/>
  <c r="AZ155" i="3" s="1"/>
  <c r="BL156" i="3"/>
  <c r="AZ156" i="3" s="1"/>
  <c r="G157" i="3"/>
  <c r="BA159" i="3"/>
  <c r="BL160" i="3"/>
  <c r="G161" i="3"/>
  <c r="BA163" i="3"/>
  <c r="AZ163" i="3"/>
  <c r="BL164" i="3"/>
  <c r="G165" i="3"/>
  <c r="BA167" i="3"/>
  <c r="AZ167" i="3" s="1"/>
  <c r="BL168" i="3"/>
  <c r="G169" i="3"/>
  <c r="BA171" i="3"/>
  <c r="AZ171" i="3" s="1"/>
  <c r="BL172" i="3"/>
  <c r="AZ172" i="3" s="1"/>
  <c r="G173" i="3"/>
  <c r="BA175" i="3"/>
  <c r="BL176" i="3"/>
  <c r="G177" i="3"/>
  <c r="BA179" i="3"/>
  <c r="AZ179" i="3" s="1"/>
  <c r="BL180" i="3"/>
  <c r="G181" i="3"/>
  <c r="BA183" i="3"/>
  <c r="AZ183" i="3" s="1"/>
  <c r="BL184" i="3"/>
  <c r="G185" i="3"/>
  <c r="BA187" i="3"/>
  <c r="AZ187" i="3" s="1"/>
  <c r="BL188" i="3"/>
  <c r="AZ188" i="3" s="1"/>
  <c r="G189" i="3"/>
  <c r="BA191" i="3"/>
  <c r="BL192" i="3"/>
  <c r="G193" i="3"/>
  <c r="BA195" i="3"/>
  <c r="AZ195" i="3" s="1"/>
  <c r="BL196" i="3"/>
  <c r="G197" i="3"/>
  <c r="BA199" i="3"/>
  <c r="AZ199" i="3" s="1"/>
  <c r="BL200" i="3"/>
  <c r="G201" i="3"/>
  <c r="BA203" i="3"/>
  <c r="AZ203" i="3" s="1"/>
  <c r="BL204" i="3"/>
  <c r="AZ204" i="3" s="1"/>
  <c r="AZ51" i="3"/>
  <c r="AZ55" i="3"/>
  <c r="AZ79" i="3"/>
  <c r="AZ83" i="3"/>
  <c r="AZ144" i="3"/>
  <c r="AZ85" i="3"/>
  <c r="AZ89" i="3"/>
  <c r="AZ105" i="3"/>
  <c r="AZ128" i="3"/>
  <c r="G534" i="3"/>
  <c r="G530" i="3"/>
  <c r="G522" i="3"/>
  <c r="G516" i="3"/>
  <c r="G512" i="3"/>
  <c r="G506" i="3"/>
  <c r="G498" i="3"/>
  <c r="G494" i="3"/>
  <c r="G16" i="3"/>
  <c r="G15" i="3"/>
  <c r="BA304" i="3"/>
  <c r="BA305" i="3"/>
  <c r="BL305" i="3"/>
  <c r="G306" i="3"/>
  <c r="G309" i="3"/>
  <c r="BL310" i="3"/>
  <c r="BA312" i="3"/>
  <c r="AZ312" i="3" s="1"/>
  <c r="BA313" i="3"/>
  <c r="BL313" i="3"/>
  <c r="G314" i="3"/>
  <c r="G317" i="3"/>
  <c r="BL318" i="3"/>
  <c r="BA320" i="3"/>
  <c r="BA321" i="3"/>
  <c r="BL321" i="3"/>
  <c r="G322" i="3"/>
  <c r="G325" i="3"/>
  <c r="BL326" i="3"/>
  <c r="BA328" i="3"/>
  <c r="AZ328" i="3" s="1"/>
  <c r="BA329" i="3"/>
  <c r="BL329" i="3"/>
  <c r="G330" i="3"/>
  <c r="G333" i="3"/>
  <c r="BL334" i="3"/>
  <c r="BA336" i="3"/>
  <c r="BA337" i="3"/>
  <c r="AZ337" i="3" s="1"/>
  <c r="BL337" i="3"/>
  <c r="G338" i="3"/>
  <c r="G341" i="3"/>
  <c r="BA342" i="3"/>
  <c r="AZ342" i="3" s="1"/>
  <c r="BL342" i="3"/>
  <c r="BA344" i="3"/>
  <c r="BL344" i="3"/>
  <c r="BA346" i="3"/>
  <c r="BA347" i="3"/>
  <c r="BL347" i="3"/>
  <c r="G350" i="3"/>
  <c r="BA351" i="3"/>
  <c r="AZ351" i="3" s="1"/>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54" i="3"/>
  <c r="AZ170" i="3"/>
  <c r="AZ186" i="3"/>
  <c r="AZ202" i="3"/>
  <c r="AZ206" i="3"/>
  <c r="AZ500" i="3"/>
  <c r="BL303" i="3"/>
  <c r="G304" i="3"/>
  <c r="BA306" i="3"/>
  <c r="AZ306" i="3" s="1"/>
  <c r="BL307" i="3"/>
  <c r="G308" i="3"/>
  <c r="BA310" i="3"/>
  <c r="BL311" i="3"/>
  <c r="G312" i="3"/>
  <c r="BA314" i="3"/>
  <c r="BL315" i="3"/>
  <c r="G316" i="3"/>
  <c r="BA318" i="3"/>
  <c r="AZ318" i="3" s="1"/>
  <c r="BL319" i="3"/>
  <c r="AZ319" i="3" s="1"/>
  <c r="G320" i="3"/>
  <c r="BA322" i="3"/>
  <c r="AZ322" i="3" s="1"/>
  <c r="BL323" i="3"/>
  <c r="AZ323" i="3" s="1"/>
  <c r="G324" i="3"/>
  <c r="BA326" i="3"/>
  <c r="BL327" i="3"/>
  <c r="G328" i="3"/>
  <c r="BA330" i="3"/>
  <c r="AZ330" i="3" s="1"/>
  <c r="BL331" i="3"/>
  <c r="G332" i="3"/>
  <c r="BA334" i="3"/>
  <c r="BL335" i="3"/>
  <c r="G336" i="3"/>
  <c r="BA338" i="3"/>
  <c r="AZ338" i="3" s="1"/>
  <c r="BL339" i="3"/>
  <c r="G340" i="3"/>
  <c r="BL343" i="3"/>
  <c r="G344" i="3"/>
  <c r="G348" i="3"/>
  <c r="G355" i="3"/>
  <c r="AZ209" i="3"/>
  <c r="G342" i="3"/>
  <c r="BL345" i="3"/>
  <c r="G346" i="3"/>
  <c r="BL349" i="3"/>
  <c r="BL352" i="3"/>
  <c r="G353" i="3"/>
  <c r="BA357" i="3"/>
  <c r="AZ357" i="3" s="1"/>
  <c r="BL358" i="3"/>
  <c r="AZ358" i="3" s="1"/>
  <c r="G359" i="3"/>
  <c r="BA361" i="3"/>
  <c r="AZ361" i="3" s="1"/>
  <c r="BL362" i="3"/>
  <c r="G363" i="3"/>
  <c r="BA365" i="3"/>
  <c r="AZ365" i="3" s="1"/>
  <c r="BL366" i="3"/>
  <c r="G367" i="3"/>
  <c r="BA369" i="3"/>
  <c r="AZ369" i="3" s="1"/>
  <c r="BL370" i="3"/>
  <c r="G371" i="3"/>
  <c r="BA373" i="3"/>
  <c r="AZ373" i="3" s="1"/>
  <c r="BL374" i="3"/>
  <c r="AZ374" i="3" s="1"/>
  <c r="G375" i="3"/>
  <c r="BA377" i="3"/>
  <c r="AZ229" i="3"/>
  <c r="AZ257" i="3"/>
  <c r="AZ261" i="3"/>
  <c r="AZ265" i="3"/>
  <c r="AZ370" i="3"/>
  <c r="BA379" i="3"/>
  <c r="AZ379" i="3" s="1"/>
  <c r="BL380" i="3"/>
  <c r="G381" i="3"/>
  <c r="BA383" i="3"/>
  <c r="BL384" i="3"/>
  <c r="AZ384" i="3" s="1"/>
  <c r="G385" i="3"/>
  <c r="BA387" i="3"/>
  <c r="AZ387" i="3" s="1"/>
  <c r="BL388" i="3"/>
  <c r="G389" i="3"/>
  <c r="BA391" i="3"/>
  <c r="AZ391" i="3" s="1"/>
  <c r="BL392" i="3"/>
  <c r="G393" i="3"/>
  <c r="AZ263" i="3"/>
  <c r="AZ279" i="3"/>
  <c r="AZ287" i="3"/>
  <c r="AZ295" i="3"/>
  <c r="AZ333" i="3"/>
  <c r="AZ496" i="3"/>
  <c r="G548" i="3"/>
  <c r="G538" i="3"/>
  <c r="G520" i="3"/>
  <c r="G502" i="3"/>
  <c r="G17" i="3"/>
  <c r="AZ352" i="3"/>
  <c r="BA15" i="3"/>
  <c r="AZ396" i="3"/>
  <c r="G509" i="3"/>
  <c r="AZ390" i="3"/>
  <c r="U36" i="40"/>
  <c r="N4" i="43"/>
  <c r="F36" i="43"/>
  <c r="F81" i="43"/>
  <c r="H83" i="43" s="1"/>
  <c r="H113" i="43"/>
  <c r="F48" i="43"/>
  <c r="H52" i="43" s="1"/>
  <c r="N7" i="43"/>
  <c r="F70" i="43"/>
  <c r="H73" i="43" s="1"/>
  <c r="M6" i="43"/>
  <c r="M11" i="43"/>
  <c r="E17" i="43"/>
  <c r="F39" i="43"/>
  <c r="I17" i="43"/>
  <c r="F35" i="43"/>
  <c r="J17" i="43"/>
  <c r="F6" i="1"/>
  <c r="S14" i="35"/>
  <c r="U43" i="21"/>
  <c r="U35" i="21"/>
  <c r="AC35" i="21"/>
  <c r="F48" i="9"/>
  <c r="O52" i="9" s="1"/>
  <c r="W37" i="37"/>
  <c r="W44" i="34"/>
  <c r="AC44" i="34"/>
  <c r="S15"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H35" i="40"/>
  <c r="AB35" i="40" s="1"/>
  <c r="AC29" i="35"/>
  <c r="W29" i="35"/>
  <c r="H35" i="37"/>
  <c r="U35" i="37" s="1"/>
  <c r="AC14" i="35"/>
  <c r="H20" i="35"/>
  <c r="U20" i="35" s="1"/>
  <c r="F20" i="35"/>
  <c r="AA20" i="35" s="1"/>
  <c r="AB29" i="36"/>
  <c r="U29" i="36"/>
  <c r="H32" i="37"/>
  <c r="AB32"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4" i="3"/>
  <c r="AZ386" i="3"/>
  <c r="C40" i="11"/>
  <c r="AZ227" i="3"/>
  <c r="AZ256" i="3"/>
  <c r="AZ259" i="3"/>
  <c r="AZ280" i="3"/>
  <c r="AZ296" i="3"/>
  <c r="AZ114" i="3"/>
  <c r="AZ117" i="3"/>
  <c r="AZ53" i="3"/>
  <c r="AZ58" i="3"/>
  <c r="AZ82" i="3"/>
  <c r="AZ102" i="3"/>
  <c r="H75" i="43"/>
  <c r="H50" i="43"/>
  <c r="H48" i="43"/>
  <c r="I20" i="43"/>
  <c r="F23" i="39"/>
  <c r="AA23" i="39" s="1"/>
  <c r="H27" i="36"/>
  <c r="U27" i="36" s="1"/>
  <c r="F27" i="36"/>
  <c r="AA27" i="36" s="1"/>
  <c r="H33" i="34"/>
  <c r="U33" i="34" s="1"/>
  <c r="F32" i="37"/>
  <c r="AA32" i="37" s="1"/>
  <c r="F20" i="36"/>
  <c r="AA20" i="36" s="1"/>
  <c r="J33" i="34"/>
  <c r="AC33" i="34" s="1"/>
  <c r="H23" i="39"/>
  <c r="U23" i="39" s="1"/>
  <c r="D48" i="9"/>
  <c r="M52" i="9" s="1"/>
  <c r="H82" i="43"/>
  <c r="AE9" i="1"/>
  <c r="AZ377" i="3" l="1"/>
  <c r="AZ345" i="3"/>
  <c r="AZ334" i="3"/>
  <c r="AZ326" i="3"/>
  <c r="AZ311" i="3"/>
  <c r="AZ382" i="3"/>
  <c r="AZ356" i="3"/>
  <c r="AZ347" i="3"/>
  <c r="AZ344" i="3"/>
  <c r="AZ320" i="3"/>
  <c r="AZ313" i="3"/>
  <c r="AZ305" i="3"/>
  <c r="AZ394" i="3"/>
  <c r="AZ376" i="3"/>
  <c r="AZ343" i="3"/>
  <c r="AZ341" i="3"/>
  <c r="AZ325" i="3"/>
  <c r="AZ309" i="3"/>
  <c r="AZ493" i="3"/>
  <c r="AZ501" i="3"/>
  <c r="AZ555" i="3"/>
  <c r="AZ565" i="3"/>
  <c r="AZ566" i="3"/>
  <c r="AZ574" i="3"/>
  <c r="AB17" i="34"/>
  <c r="S29" i="35"/>
  <c r="AA29" i="35"/>
  <c r="AC33" i="37"/>
  <c r="W33" i="37"/>
  <c r="S12" i="36"/>
  <c r="AA12" i="36"/>
  <c r="W34" i="36"/>
  <c r="AC34" i="36"/>
  <c r="BL587" i="3"/>
  <c r="AZ587" i="3" s="1"/>
  <c r="AC9" i="34"/>
  <c r="W9" i="34"/>
  <c r="J27" i="34"/>
  <c r="F27" i="34"/>
  <c r="AA27" i="34" s="1"/>
  <c r="AB8" i="35"/>
  <c r="U8" i="35"/>
  <c r="F34" i="35"/>
  <c r="H23" i="35"/>
  <c r="F23" i="35"/>
  <c r="AA23" i="35" s="1"/>
  <c r="AC13" i="36"/>
  <c r="W13" i="36"/>
  <c r="F32" i="36"/>
  <c r="H32" i="36"/>
  <c r="AB32" i="36" s="1"/>
  <c r="W31" i="36"/>
  <c r="AC31" i="36"/>
  <c r="F91" i="39"/>
  <c r="G91" i="39" s="1"/>
  <c r="H17" i="39"/>
  <c r="AB17" i="39" s="1"/>
  <c r="AZ349" i="3"/>
  <c r="AZ116" i="3"/>
  <c r="AB33" i="35"/>
  <c r="U33" i="35"/>
  <c r="F12" i="21"/>
  <c r="H12" i="21"/>
  <c r="H28" i="21"/>
  <c r="AB28" i="21" s="1"/>
  <c r="J28" i="21"/>
  <c r="J44" i="21"/>
  <c r="F44" i="21"/>
  <c r="AA44" i="21" s="1"/>
  <c r="AA40" i="21"/>
  <c r="S40" i="21"/>
  <c r="F42" i="21"/>
  <c r="G123" i="21"/>
  <c r="H123" i="21" s="1"/>
  <c r="I123" i="21" s="1"/>
  <c r="J123" i="21" s="1"/>
  <c r="K123" i="21" s="1"/>
  <c r="L123" i="21" s="1"/>
  <c r="M123" i="21" s="1"/>
  <c r="H42" i="21"/>
  <c r="U42" i="21" s="1"/>
  <c r="B71" i="43"/>
  <c r="C21" i="39"/>
  <c r="AB33" i="33"/>
  <c r="U33" i="33"/>
  <c r="J9" i="33"/>
  <c r="AC9" i="33" s="1"/>
  <c r="F9" i="33"/>
  <c r="H28" i="33"/>
  <c r="U28" i="33" s="1"/>
  <c r="J28" i="33"/>
  <c r="W28" i="33" s="1"/>
  <c r="J26" i="33"/>
  <c r="W26" i="33" s="1"/>
  <c r="F26" i="33"/>
  <c r="AA26" i="33" s="1"/>
  <c r="J29" i="33"/>
  <c r="F29" i="33"/>
  <c r="S29" i="33" s="1"/>
  <c r="H45" i="33"/>
  <c r="F45" i="33"/>
  <c r="J12" i="34"/>
  <c r="F12" i="34"/>
  <c r="S12" i="34" s="1"/>
  <c r="H30" i="34"/>
  <c r="J30" i="34"/>
  <c r="H46" i="34"/>
  <c r="J46" i="34"/>
  <c r="J12" i="35"/>
  <c r="W12" i="35" s="1"/>
  <c r="F12" i="35"/>
  <c r="AC11" i="35"/>
  <c r="W11" i="35"/>
  <c r="H36" i="35"/>
  <c r="AB36" i="35" s="1"/>
  <c r="J36" i="35"/>
  <c r="AA27" i="35"/>
  <c r="S27" i="35"/>
  <c r="W27" i="35"/>
  <c r="AC27" i="35"/>
  <c r="AA10" i="36"/>
  <c r="S10" i="36"/>
  <c r="H13" i="37"/>
  <c r="J13" i="37"/>
  <c r="W13" i="37" s="1"/>
  <c r="H40" i="37"/>
  <c r="U40" i="37" s="1"/>
  <c r="F40" i="37"/>
  <c r="AA40" i="37" s="1"/>
  <c r="J43" i="39"/>
  <c r="W43" i="39" s="1"/>
  <c r="H43" i="39"/>
  <c r="H45" i="39"/>
  <c r="AB45" i="39" s="1"/>
  <c r="F45" i="39"/>
  <c r="S45" i="39" s="1"/>
  <c r="H33" i="40"/>
  <c r="F12" i="40"/>
  <c r="AB42" i="34"/>
  <c r="F37" i="39"/>
  <c r="AA37" i="39" s="1"/>
  <c r="U9" i="40"/>
  <c r="AB39" i="40"/>
  <c r="F35" i="39"/>
  <c r="AC41" i="33"/>
  <c r="G582" i="3"/>
  <c r="G556" i="3"/>
  <c r="G552" i="3"/>
  <c r="G551" i="3"/>
  <c r="BA398" i="3"/>
  <c r="AZ398" i="3" s="1"/>
  <c r="BL400" i="3"/>
  <c r="G401" i="3"/>
  <c r="G403" i="3"/>
  <c r="G406" i="3"/>
  <c r="G409" i="3"/>
  <c r="BL410" i="3"/>
  <c r="G411" i="3"/>
  <c r="BA412" i="3"/>
  <c r="AZ412" i="3" s="1"/>
  <c r="BL412" i="3"/>
  <c r="BA413" i="3"/>
  <c r="AZ413" i="3" s="1"/>
  <c r="BA414" i="3"/>
  <c r="AZ414" i="3" s="1"/>
  <c r="BL416" i="3"/>
  <c r="G417" i="3"/>
  <c r="G419" i="3"/>
  <c r="G422" i="3"/>
  <c r="G426" i="3"/>
  <c r="BL427" i="3"/>
  <c r="G428" i="3"/>
  <c r="G432" i="3"/>
  <c r="BA433" i="3"/>
  <c r="BL433" i="3"/>
  <c r="BA435" i="3"/>
  <c r="AZ435" i="3" s="1"/>
  <c r="BL435" i="3"/>
  <c r="BA436" i="3"/>
  <c r="AZ436" i="3" s="1"/>
  <c r="BA438" i="3"/>
  <c r="BL438" i="3"/>
  <c r="G439" i="3"/>
  <c r="BL440" i="3"/>
  <c r="G441" i="3"/>
  <c r="G443" i="3"/>
  <c r="BL444" i="3"/>
  <c r="G445" i="3"/>
  <c r="G446" i="3"/>
  <c r="F34" i="81"/>
  <c r="F62" i="81" s="1"/>
  <c r="M20" i="81"/>
  <c r="BH5" i="3"/>
  <c r="BD5" i="3"/>
  <c r="F10" i="1"/>
  <c r="G10" i="1" s="1"/>
  <c r="F11" i="1"/>
  <c r="G11" i="1" s="1"/>
  <c r="G449" i="3"/>
  <c r="BL449" i="3"/>
  <c r="AZ449" i="3" s="1"/>
  <c r="G450" i="3"/>
  <c r="G451" i="3"/>
  <c r="BA453" i="3"/>
  <c r="BL453" i="3"/>
  <c r="BL455" i="3"/>
  <c r="G456" i="3"/>
  <c r="BA457" i="3"/>
  <c r="BL457" i="3"/>
  <c r="BA459" i="3"/>
  <c r="BL459" i="3"/>
  <c r="BA460" i="3"/>
  <c r="AZ460" i="3" s="1"/>
  <c r="BA462" i="3"/>
  <c r="AZ462" i="3" s="1"/>
  <c r="BL462" i="3"/>
  <c r="BA463" i="3"/>
  <c r="AZ463" i="3" s="1"/>
  <c r="BA464" i="3"/>
  <c r="AZ464" i="3" s="1"/>
  <c r="BL466" i="3"/>
  <c r="G467" i="3"/>
  <c r="BA468" i="3"/>
  <c r="AZ468" i="3" s="1"/>
  <c r="BL468" i="3"/>
  <c r="BL470" i="3"/>
  <c r="G471" i="3"/>
  <c r="BL472" i="3"/>
  <c r="G473" i="3"/>
  <c r="G477" i="3"/>
  <c r="G481" i="3"/>
  <c r="G484" i="3"/>
  <c r="BL485" i="3"/>
  <c r="G486" i="3"/>
  <c r="G488" i="3"/>
  <c r="BL489" i="3"/>
  <c r="G490" i="3"/>
  <c r="G492" i="3"/>
  <c r="BA303" i="3"/>
  <c r="AZ303" i="3" s="1"/>
  <c r="BA307" i="3"/>
  <c r="AZ307" i="3" s="1"/>
  <c r="BL314" i="3"/>
  <c r="AZ314" i="3" s="1"/>
  <c r="G315" i="3"/>
  <c r="BA317" i="3"/>
  <c r="AZ317" i="3" s="1"/>
  <c r="G323" i="3"/>
  <c r="BL324" i="3"/>
  <c r="AZ324" i="3" s="1"/>
  <c r="G327" i="3"/>
  <c r="BA335" i="3"/>
  <c r="AZ335" i="3" s="1"/>
  <c r="BA339" i="3"/>
  <c r="AZ339" i="3" s="1"/>
  <c r="G347" i="3"/>
  <c r="BA348" i="3"/>
  <c r="AZ348" i="3" s="1"/>
  <c r="BA349" i="3"/>
  <c r="BL363" i="3"/>
  <c r="AZ363" i="3" s="1"/>
  <c r="G364" i="3"/>
  <c r="BA366" i="3"/>
  <c r="AZ366" i="3" s="1"/>
  <c r="BL368" i="3"/>
  <c r="G369" i="3"/>
  <c r="G384" i="3"/>
  <c r="BL385" i="3"/>
  <c r="G396" i="3"/>
  <c r="G209" i="3"/>
  <c r="G212" i="3"/>
  <c r="BA213" i="3"/>
  <c r="BL213" i="3"/>
  <c r="BA215" i="3"/>
  <c r="AZ215" i="3" s="1"/>
  <c r="BL215" i="3"/>
  <c r="BA216" i="3"/>
  <c r="AZ216" i="3" s="1"/>
  <c r="BA218" i="3"/>
  <c r="BL218" i="3"/>
  <c r="BA219" i="3"/>
  <c r="AZ219" i="3" s="1"/>
  <c r="BL221" i="3"/>
  <c r="G222" i="3"/>
  <c r="BL223" i="3"/>
  <c r="G224" i="3"/>
  <c r="G227" i="3"/>
  <c r="G231" i="3"/>
  <c r="BL232" i="3"/>
  <c r="G233" i="3"/>
  <c r="BA234" i="3"/>
  <c r="BL234" i="3"/>
  <c r="BL236" i="3"/>
  <c r="G237" i="3"/>
  <c r="BA238" i="3"/>
  <c r="AZ238" i="3" s="1"/>
  <c r="BL238" i="3"/>
  <c r="BA239" i="3"/>
  <c r="AZ239" i="3" s="1"/>
  <c r="BA240" i="3"/>
  <c r="AZ240" i="3" s="1"/>
  <c r="BA241" i="3"/>
  <c r="AZ241" i="3" s="1"/>
  <c r="BA243" i="3"/>
  <c r="BL243" i="3"/>
  <c r="BA244" i="3"/>
  <c r="AZ244" i="3" s="1"/>
  <c r="BA245" i="3"/>
  <c r="AZ245" i="3" s="1"/>
  <c r="BL247" i="3"/>
  <c r="G248" i="3"/>
  <c r="BL249" i="3"/>
  <c r="G250" i="3"/>
  <c r="G252" i="3"/>
  <c r="BL253" i="3"/>
  <c r="G254" i="3"/>
  <c r="G259" i="3"/>
  <c r="G263" i="3"/>
  <c r="G267" i="3"/>
  <c r="BL268" i="3"/>
  <c r="G269" i="3"/>
  <c r="BA270" i="3"/>
  <c r="BL270" i="3"/>
  <c r="BL272" i="3"/>
  <c r="G273" i="3"/>
  <c r="BA274" i="3"/>
  <c r="BL274" i="3"/>
  <c r="BL276" i="3"/>
  <c r="G277" i="3"/>
  <c r="G282" i="3"/>
  <c r="BL283" i="3"/>
  <c r="G284" i="3"/>
  <c r="G287" i="3"/>
  <c r="G289" i="3"/>
  <c r="BA290" i="3"/>
  <c r="AZ290" i="3" s="1"/>
  <c r="BL290" i="3"/>
  <c r="BL292" i="3"/>
  <c r="G293" i="3"/>
  <c r="G298" i="3"/>
  <c r="BL299" i="3"/>
  <c r="G300" i="3"/>
  <c r="BA116" i="3"/>
  <c r="G123" i="3"/>
  <c r="G126" i="3"/>
  <c r="G128" i="3"/>
  <c r="BL129" i="3"/>
  <c r="G130" i="3"/>
  <c r="G132" i="3"/>
  <c r="BA133" i="3"/>
  <c r="AZ133" i="3" s="1"/>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G151" i="3"/>
  <c r="G154" i="3"/>
  <c r="BA157" i="3"/>
  <c r="BL157" i="3"/>
  <c r="BL159" i="3"/>
  <c r="AZ159" i="3" s="1"/>
  <c r="G160" i="3"/>
  <c r="BA162" i="3"/>
  <c r="BL162" i="3"/>
  <c r="BA164" i="3"/>
  <c r="AZ164" i="3" s="1"/>
  <c r="G167" i="3"/>
  <c r="G170" i="3"/>
  <c r="BA173" i="3"/>
  <c r="BL173" i="3"/>
  <c r="BL175" i="3"/>
  <c r="AZ175" i="3" s="1"/>
  <c r="G176" i="3"/>
  <c r="BA178" i="3"/>
  <c r="AZ178" i="3" s="1"/>
  <c r="BL178" i="3"/>
  <c r="BA180" i="3"/>
  <c r="AZ180" i="3" s="1"/>
  <c r="G183" i="3"/>
  <c r="G186" i="3"/>
  <c r="BA189" i="3"/>
  <c r="BL189" i="3"/>
  <c r="BL191" i="3"/>
  <c r="AZ191" i="3" s="1"/>
  <c r="G192" i="3"/>
  <c r="BA194" i="3"/>
  <c r="BL194" i="3"/>
  <c r="BA196" i="3"/>
  <c r="AZ196" i="3" s="1"/>
  <c r="G199" i="3"/>
  <c r="G202" i="3"/>
  <c r="G18" i="3"/>
  <c r="G21" i="3"/>
  <c r="G24" i="3"/>
  <c r="G27" i="3"/>
  <c r="BL28" i="3"/>
  <c r="G29" i="3"/>
  <c r="BA30" i="3"/>
  <c r="AZ30" i="3" s="1"/>
  <c r="BL30" i="3"/>
  <c r="G1" i="80"/>
  <c r="G1" i="81"/>
  <c r="G100" i="43"/>
  <c r="BA32" i="3"/>
  <c r="BL32" i="3"/>
  <c r="BA34" i="3"/>
  <c r="AZ34" i="3" s="1"/>
  <c r="BA36" i="3"/>
  <c r="AZ36" i="3" s="1"/>
  <c r="BA37" i="3"/>
  <c r="AZ37" i="3" s="1"/>
  <c r="BA39" i="3"/>
  <c r="AZ39" i="3" s="1"/>
  <c r="BL39" i="3"/>
  <c r="BA40" i="3"/>
  <c r="AZ40" i="3" s="1"/>
  <c r="BA42" i="3"/>
  <c r="BL42" i="3"/>
  <c r="BL44" i="3"/>
  <c r="G45" i="3"/>
  <c r="BA46" i="3"/>
  <c r="BL46" i="3"/>
  <c r="BL48" i="3"/>
  <c r="G49" i="3"/>
  <c r="G51" i="3"/>
  <c r="G55" i="3"/>
  <c r="G58" i="3"/>
  <c r="G60" i="3"/>
  <c r="BL61" i="3"/>
  <c r="G62" i="3"/>
  <c r="G64" i="3"/>
  <c r="BA65" i="3"/>
  <c r="AZ65" i="3" s="1"/>
  <c r="BL65" i="3"/>
  <c r="BA67" i="3"/>
  <c r="AZ67" i="3" s="1"/>
  <c r="BL67" i="3"/>
  <c r="BA68" i="3"/>
  <c r="AZ68" i="3" s="1"/>
  <c r="BA69" i="3"/>
  <c r="AZ69" i="3" s="1"/>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J51" i="15"/>
  <c r="BR5" i="3"/>
  <c r="BI5" i="3"/>
  <c r="BA17" i="3"/>
  <c r="BM5" i="3"/>
  <c r="BA20" i="3"/>
  <c r="BA16" i="3"/>
  <c r="G7" i="12"/>
  <c r="BE5" i="3"/>
  <c r="E7" i="12"/>
  <c r="C5" i="11"/>
  <c r="F7" i="12"/>
  <c r="BA21" i="3"/>
  <c r="BP5" i="3"/>
  <c r="BL21" i="3"/>
  <c r="BT5" i="3"/>
  <c r="BA19" i="3"/>
  <c r="BL19" i="3"/>
  <c r="BJ5" i="3"/>
  <c r="BF5" i="3"/>
  <c r="BB5" i="3"/>
  <c r="E8" i="6" s="1"/>
  <c r="BN5" i="3"/>
  <c r="G29" i="6" s="1"/>
  <c r="BQ5" i="3"/>
  <c r="AZ497" i="3"/>
  <c r="AA42" i="21"/>
  <c r="S42" i="21"/>
  <c r="U27" i="37"/>
  <c r="AB27" i="37"/>
  <c r="AC31" i="40"/>
  <c r="W31" i="40"/>
  <c r="W33" i="40"/>
  <c r="AC33" i="40"/>
  <c r="AA38" i="40"/>
  <c r="S38" i="40"/>
  <c r="W40" i="40"/>
  <c r="AC40" i="40"/>
  <c r="AA28" i="34"/>
  <c r="S28" i="34"/>
  <c r="AB14" i="37"/>
  <c r="U14" i="37"/>
  <c r="AB26" i="37"/>
  <c r="U26" i="37"/>
  <c r="U25" i="37"/>
  <c r="AB25" i="37"/>
  <c r="AB44" i="39"/>
  <c r="U44" i="39"/>
  <c r="AC32" i="40"/>
  <c r="W32" i="40"/>
  <c r="S36" i="39"/>
  <c r="AA36" i="39"/>
  <c r="H87" i="43"/>
  <c r="H86" i="43"/>
  <c r="H49" i="43"/>
  <c r="H74" i="43"/>
  <c r="AZ327" i="3"/>
  <c r="AZ310" i="3"/>
  <c r="AZ371" i="3"/>
  <c r="AZ336" i="3"/>
  <c r="AZ329" i="3"/>
  <c r="AZ321" i="3"/>
  <c r="AZ304" i="3"/>
  <c r="W35" i="40"/>
  <c r="W14" i="39"/>
  <c r="S14" i="40"/>
  <c r="W40" i="37"/>
  <c r="AC31" i="33"/>
  <c r="W47" i="34"/>
  <c r="AB28" i="37"/>
  <c r="AC32" i="36"/>
  <c r="AZ569" i="3"/>
  <c r="AZ577" i="3"/>
  <c r="AZ557" i="3"/>
  <c r="AZ516" i="3"/>
  <c r="AZ524" i="3"/>
  <c r="AZ532" i="3"/>
  <c r="AZ536" i="3"/>
  <c r="AZ544" i="3"/>
  <c r="AZ554" i="3"/>
  <c r="AZ558" i="3"/>
  <c r="AZ582" i="3"/>
  <c r="S11" i="36"/>
  <c r="AB26" i="33"/>
  <c r="AB11" i="35"/>
  <c r="AA44" i="33"/>
  <c r="S8" i="33"/>
  <c r="S26" i="33"/>
  <c r="S38" i="33"/>
  <c r="S8" i="36"/>
  <c r="AB12" i="36"/>
  <c r="AA12" i="34"/>
  <c r="S40" i="39"/>
  <c r="C27" i="39"/>
  <c r="F17" i="39"/>
  <c r="AA17" i="39" s="1"/>
  <c r="U40" i="40"/>
  <c r="U34" i="40"/>
  <c r="AC9" i="40"/>
  <c r="H39" i="37"/>
  <c r="U35" i="33"/>
  <c r="U34" i="35"/>
  <c r="W22" i="35"/>
  <c r="AA31" i="36"/>
  <c r="W28" i="36"/>
  <c r="F39" i="37"/>
  <c r="J36" i="39"/>
  <c r="BL586" i="3"/>
  <c r="BL585" i="3"/>
  <c r="AZ585" i="3" s="1"/>
  <c r="H12" i="33"/>
  <c r="J25" i="37"/>
  <c r="H38" i="40"/>
  <c r="F40" i="40"/>
  <c r="G574" i="3"/>
  <c r="G558" i="3"/>
  <c r="C30" i="9"/>
  <c r="AZ403" i="3"/>
  <c r="AZ406" i="3"/>
  <c r="AZ419" i="3"/>
  <c r="AZ422" i="3"/>
  <c r="AZ438" i="3"/>
  <c r="BA439" i="3"/>
  <c r="AZ439" i="3" s="1"/>
  <c r="BA440" i="3"/>
  <c r="AZ440" i="3" s="1"/>
  <c r="BL442" i="3"/>
  <c r="AZ442" i="3" s="1"/>
  <c r="BL445" i="3"/>
  <c r="AZ445" i="3" s="1"/>
  <c r="G448" i="3"/>
  <c r="AZ451" i="3"/>
  <c r="AZ362" i="3"/>
  <c r="AZ521" i="3"/>
  <c r="AZ581" i="3"/>
  <c r="BA551" i="3"/>
  <c r="AZ551" i="3" s="1"/>
  <c r="BL550" i="3"/>
  <c r="BA550" i="3"/>
  <c r="BL548" i="3"/>
  <c r="AZ548" i="3" s="1"/>
  <c r="M20" i="15"/>
  <c r="M20" i="80"/>
  <c r="F34" i="80"/>
  <c r="F62" i="80" s="1"/>
  <c r="A15" i="62"/>
  <c r="B61" i="72" s="1"/>
  <c r="G398" i="3"/>
  <c r="G399" i="3"/>
  <c r="BL399" i="3"/>
  <c r="AZ399" i="3" s="1"/>
  <c r="BA400" i="3"/>
  <c r="AZ400" i="3" s="1"/>
  <c r="BL402" i="3"/>
  <c r="AZ402" i="3" s="1"/>
  <c r="G405" i="3"/>
  <c r="BL405" i="3"/>
  <c r="AZ405" i="3" s="1"/>
  <c r="G408" i="3"/>
  <c r="BL408" i="3"/>
  <c r="AZ408" i="3" s="1"/>
  <c r="BA409" i="3"/>
  <c r="AZ409" i="3" s="1"/>
  <c r="BA410" i="3"/>
  <c r="AZ410" i="3" s="1"/>
  <c r="BA411" i="3"/>
  <c r="AZ411" i="3" s="1"/>
  <c r="G414" i="3"/>
  <c r="G415" i="3"/>
  <c r="BL415" i="3"/>
  <c r="AZ415" i="3" s="1"/>
  <c r="BA416" i="3"/>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AZ443" i="3"/>
  <c r="BA444" i="3"/>
  <c r="AZ444" i="3" s="1"/>
  <c r="AZ446" i="3"/>
  <c r="BL450" i="3"/>
  <c r="AZ450" i="3" s="1"/>
  <c r="AZ459" i="3"/>
  <c r="AZ477" i="3"/>
  <c r="AZ481" i="3"/>
  <c r="BA452" i="3"/>
  <c r="AZ452" i="3" s="1"/>
  <c r="BL454" i="3"/>
  <c r="AZ454" i="3" s="1"/>
  <c r="BA455" i="3"/>
  <c r="AZ455" i="3" s="1"/>
  <c r="BA456" i="3"/>
  <c r="AZ456" i="3" s="1"/>
  <c r="BL458" i="3"/>
  <c r="AZ458" i="3" s="1"/>
  <c r="G461" i="3"/>
  <c r="BL461" i="3"/>
  <c r="AZ461" i="3" s="1"/>
  <c r="G464" i="3"/>
  <c r="G465" i="3"/>
  <c r="BL465" i="3"/>
  <c r="BA466" i="3"/>
  <c r="AZ466" i="3" s="1"/>
  <c r="BA467" i="3"/>
  <c r="AZ467" i="3" s="1"/>
  <c r="BL469" i="3"/>
  <c r="AZ469" i="3" s="1"/>
  <c r="BA470" i="3"/>
  <c r="BA471" i="3"/>
  <c r="AZ471" i="3" s="1"/>
  <c r="BA472" i="3"/>
  <c r="G475" i="3"/>
  <c r="G476" i="3"/>
  <c r="BL476" i="3"/>
  <c r="AZ476" i="3" s="1"/>
  <c r="G479" i="3"/>
  <c r="G480" i="3"/>
  <c r="BL480" i="3"/>
  <c r="AZ480" i="3" s="1"/>
  <c r="G483" i="3"/>
  <c r="BA484" i="3"/>
  <c r="AZ484" i="3" s="1"/>
  <c r="BA485" i="3"/>
  <c r="AZ485" i="3" s="1"/>
  <c r="BL487" i="3"/>
  <c r="AZ487" i="3" s="1"/>
  <c r="BA488" i="3"/>
  <c r="AZ488" i="3" s="1"/>
  <c r="BA489" i="3"/>
  <c r="BL491" i="3"/>
  <c r="AZ491" i="3" s="1"/>
  <c r="BA492" i="3"/>
  <c r="AZ492" i="3" s="1"/>
  <c r="G313" i="3"/>
  <c r="BA315" i="3"/>
  <c r="AZ315" i="3" s="1"/>
  <c r="BL316" i="3"/>
  <c r="AZ316" i="3" s="1"/>
  <c r="G318" i="3"/>
  <c r="G329" i="3"/>
  <c r="BA331" i="3"/>
  <c r="AZ331" i="3" s="1"/>
  <c r="BL332" i="3"/>
  <c r="AZ332" i="3" s="1"/>
  <c r="G334" i="3"/>
  <c r="BL346" i="3"/>
  <c r="AZ346" i="3" s="1"/>
  <c r="G349" i="3"/>
  <c r="BA350" i="3"/>
  <c r="AZ350" i="3" s="1"/>
  <c r="BL353" i="3"/>
  <c r="AZ353" i="3" s="1"/>
  <c r="G362" i="3"/>
  <c r="G366" i="3"/>
  <c r="BA368" i="3"/>
  <c r="AZ368" i="3" s="1"/>
  <c r="G378" i="3"/>
  <c r="BL383" i="3"/>
  <c r="AZ383" i="3" s="1"/>
  <c r="BA385" i="3"/>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AZ226" i="3" s="1"/>
  <c r="G229" i="3"/>
  <c r="G230" i="3"/>
  <c r="BL230" i="3"/>
  <c r="AZ230" i="3" s="1"/>
  <c r="BA231" i="3"/>
  <c r="AZ231" i="3" s="1"/>
  <c r="BA232" i="3"/>
  <c r="BA233" i="3"/>
  <c r="AZ233" i="3" s="1"/>
  <c r="BL235" i="3"/>
  <c r="AZ235" i="3" s="1"/>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G256" i="3"/>
  <c r="G257" i="3"/>
  <c r="G258" i="3"/>
  <c r="BL258" i="3"/>
  <c r="AZ258" i="3" s="1"/>
  <c r="G261" i="3"/>
  <c r="G262" i="3"/>
  <c r="BL262" i="3"/>
  <c r="AZ262" i="3" s="1"/>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G286" i="3"/>
  <c r="BL286" i="3"/>
  <c r="BL288" i="3"/>
  <c r="AZ288" i="3" s="1"/>
  <c r="BA289" i="3"/>
  <c r="AZ289" i="3" s="1"/>
  <c r="BL291" i="3"/>
  <c r="AZ291" i="3" s="1"/>
  <c r="BA292" i="3"/>
  <c r="G295" i="3"/>
  <c r="G296" i="3"/>
  <c r="G297" i="3"/>
  <c r="BL297" i="3"/>
  <c r="BA298" i="3"/>
  <c r="AZ298" i="3" s="1"/>
  <c r="BA299" i="3"/>
  <c r="AZ299" i="3" s="1"/>
  <c r="G302" i="3"/>
  <c r="G114" i="3"/>
  <c r="G115" i="3"/>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G156" i="3"/>
  <c r="BL158" i="3"/>
  <c r="AZ158" i="3" s="1"/>
  <c r="BA160" i="3"/>
  <c r="AZ160" i="3" s="1"/>
  <c r="BL161" i="3"/>
  <c r="G164" i="3"/>
  <c r="BL166" i="3"/>
  <c r="AZ166" i="3" s="1"/>
  <c r="BA168" i="3"/>
  <c r="AZ168" i="3" s="1"/>
  <c r="BL169" i="3"/>
  <c r="G172" i="3"/>
  <c r="BL174" i="3"/>
  <c r="AZ174" i="3" s="1"/>
  <c r="BA176" i="3"/>
  <c r="AZ176" i="3" s="1"/>
  <c r="BL177" i="3"/>
  <c r="G180" i="3"/>
  <c r="BL182" i="3"/>
  <c r="AZ182" i="3" s="1"/>
  <c r="BA184" i="3"/>
  <c r="AZ184" i="3" s="1"/>
  <c r="BL185" i="3"/>
  <c r="G188" i="3"/>
  <c r="BL190" i="3"/>
  <c r="AZ190" i="3" s="1"/>
  <c r="BA192" i="3"/>
  <c r="AZ192" i="3" s="1"/>
  <c r="BL193" i="3"/>
  <c r="G196" i="3"/>
  <c r="BL198" i="3"/>
  <c r="AZ198" i="3" s="1"/>
  <c r="BA200" i="3"/>
  <c r="AZ200" i="3" s="1"/>
  <c r="BL201" i="3"/>
  <c r="G204" i="3"/>
  <c r="G206" i="3"/>
  <c r="G207" i="3"/>
  <c r="BL207" i="3"/>
  <c r="G19" i="3"/>
  <c r="G23" i="3"/>
  <c r="BL23" i="3"/>
  <c r="AZ23" i="3" s="1"/>
  <c r="G26" i="3"/>
  <c r="BL26" i="3"/>
  <c r="AZ26" i="3" s="1"/>
  <c r="BA27" i="3"/>
  <c r="AZ27" i="3" s="1"/>
  <c r="BA28" i="3"/>
  <c r="AZ28" i="3" s="1"/>
  <c r="BA29" i="3"/>
  <c r="AZ29" i="3" s="1"/>
  <c r="BL31" i="3"/>
  <c r="AZ31" i="3" s="1"/>
  <c r="BL33" i="3"/>
  <c r="AZ33" i="3" s="1"/>
  <c r="G35" i="3"/>
  <c r="BL35" i="3"/>
  <c r="G37" i="3"/>
  <c r="G38" i="3"/>
  <c r="BL38" i="3"/>
  <c r="G41" i="3"/>
  <c r="BL41" i="3"/>
  <c r="AZ41" i="3" s="1"/>
  <c r="BL43" i="3"/>
  <c r="AZ43" i="3" s="1"/>
  <c r="BA44" i="3"/>
  <c r="AZ44" i="3" s="1"/>
  <c r="BA45" i="3"/>
  <c r="AZ45" i="3" s="1"/>
  <c r="BL47" i="3"/>
  <c r="AZ47" i="3" s="1"/>
  <c r="BA48" i="3"/>
  <c r="AZ48" i="3" s="1"/>
  <c r="BL50" i="3"/>
  <c r="AZ50" i="3" s="1"/>
  <c r="G53" i="3"/>
  <c r="G54" i="3"/>
  <c r="BL54" i="3"/>
  <c r="G57" i="3"/>
  <c r="BL57" i="3"/>
  <c r="AZ57" i="3" s="1"/>
  <c r="BL59" i="3"/>
  <c r="AZ59" i="3" s="1"/>
  <c r="BA60" i="3"/>
  <c r="AZ60" i="3" s="1"/>
  <c r="BA61" i="3"/>
  <c r="AZ61" i="3" s="1"/>
  <c r="AZ122" i="3"/>
  <c r="AZ125" i="3"/>
  <c r="AZ153" i="3"/>
  <c r="AZ161" i="3"/>
  <c r="AZ169" i="3"/>
  <c r="AZ177" i="3"/>
  <c r="AZ185" i="3"/>
  <c r="AZ193" i="3"/>
  <c r="AZ201" i="3"/>
  <c r="AZ207" i="3"/>
  <c r="AZ38" i="3"/>
  <c r="AZ54" i="3"/>
  <c r="BL63" i="3"/>
  <c r="AZ63" i="3" s="1"/>
  <c r="BA64" i="3"/>
  <c r="AZ64" i="3" s="1"/>
  <c r="BL66" i="3"/>
  <c r="AZ66" i="3" s="1"/>
  <c r="G69" i="3"/>
  <c r="G70" i="3"/>
  <c r="BL70" i="3"/>
  <c r="AZ70" i="3" s="1"/>
  <c r="BL72" i="3"/>
  <c r="AZ72" i="3" s="1"/>
  <c r="BA73" i="3"/>
  <c r="BA74" i="3"/>
  <c r="AZ74" i="3" s="1"/>
  <c r="BA75" i="3"/>
  <c r="BL77" i="3"/>
  <c r="AZ77" i="3" s="1"/>
  <c r="G79" i="3"/>
  <c r="G80" i="3"/>
  <c r="BL80" i="3"/>
  <c r="G82" i="3"/>
  <c r="G83" i="3"/>
  <c r="G84" i="3"/>
  <c r="BL84" i="3"/>
  <c r="BL86" i="3"/>
  <c r="AZ86" i="3" s="1"/>
  <c r="G88" i="3"/>
  <c r="BL88" i="3"/>
  <c r="AZ88" i="3" s="1"/>
  <c r="G91" i="3"/>
  <c r="BL91" i="3"/>
  <c r="AZ91" i="3" s="1"/>
  <c r="BA92" i="3"/>
  <c r="AZ92" i="3" s="1"/>
  <c r="BA93" i="3"/>
  <c r="AZ93" i="3" s="1"/>
  <c r="BA94" i="3"/>
  <c r="AZ94" i="3" s="1"/>
  <c r="G97" i="3"/>
  <c r="G98" i="3"/>
  <c r="BL98" i="3"/>
  <c r="AZ98" i="3" s="1"/>
  <c r="BA99" i="3"/>
  <c r="BL101" i="3"/>
  <c r="AZ101" i="3" s="1"/>
  <c r="G104" i="3"/>
  <c r="BL104" i="3"/>
  <c r="AZ104" i="3" s="1"/>
  <c r="BA106" i="3"/>
  <c r="AZ106" i="3" s="1"/>
  <c r="BA108" i="3"/>
  <c r="AZ108" i="3" s="1"/>
  <c r="BA109" i="3"/>
  <c r="AZ109" i="3" s="1"/>
  <c r="BA110" i="3"/>
  <c r="AZ110" i="3" s="1"/>
  <c r="BA112" i="3"/>
  <c r="AZ112" i="3" s="1"/>
  <c r="J51" i="80"/>
  <c r="C7" i="79"/>
  <c r="M100" i="43"/>
  <c r="I100" i="43"/>
  <c r="E100" i="43"/>
  <c r="I20" i="66"/>
  <c r="I4" i="6"/>
  <c r="G3" i="43" s="1"/>
  <c r="F22" i="43" s="1"/>
  <c r="BL16" i="3"/>
  <c r="BL18" i="3"/>
  <c r="AZ16" i="3"/>
  <c r="M10" i="1"/>
  <c r="S44" i="39"/>
  <c r="AC43" i="39"/>
  <c r="U45" i="39"/>
  <c r="J45" i="39"/>
  <c r="U17" i="39"/>
  <c r="H31" i="39"/>
  <c r="AB31" i="39" s="1"/>
  <c r="F31" i="39"/>
  <c r="AA31" i="39" s="1"/>
  <c r="BO5" i="3"/>
  <c r="BS5" i="3"/>
  <c r="BG5" i="3"/>
  <c r="BK5" i="3"/>
  <c r="G14" i="3"/>
  <c r="BC5" i="3"/>
  <c r="K9" i="1"/>
  <c r="M9" i="1" s="1"/>
  <c r="O9" i="1" s="1"/>
  <c r="P9" i="1" s="1"/>
  <c r="M8" i="1"/>
  <c r="O8" i="1" s="1"/>
  <c r="P8" i="1" s="1"/>
  <c r="C11" i="21"/>
  <c r="C11" i="39"/>
  <c r="U10" i="21"/>
  <c r="U40" i="39"/>
  <c r="J23" i="39"/>
  <c r="S34" i="39"/>
  <c r="AB34" i="39"/>
  <c r="U9" i="39"/>
  <c r="F9" i="1"/>
  <c r="G9" i="1" s="1"/>
  <c r="AC38" i="39"/>
  <c r="AB8" i="39"/>
  <c r="F3" i="35"/>
  <c r="BL20" i="3"/>
  <c r="AZ20" i="3" s="1"/>
  <c r="BA18" i="3"/>
  <c r="AZ18" i="3" s="1"/>
  <c r="BL15" i="3"/>
  <c r="AZ15" i="3" s="1"/>
  <c r="D93" i="9"/>
  <c r="K6" i="1"/>
  <c r="B29" i="1" s="1"/>
  <c r="AC26" i="33"/>
  <c r="W27" i="34"/>
  <c r="AC27" i="34"/>
  <c r="AB34" i="36"/>
  <c r="U34" i="36"/>
  <c r="AB33" i="36"/>
  <c r="U33" i="36"/>
  <c r="AC12" i="39"/>
  <c r="W12" i="39"/>
  <c r="AC39" i="40"/>
  <c r="W39" i="40"/>
  <c r="AZ401" i="3"/>
  <c r="AZ417" i="3"/>
  <c r="AZ428" i="3"/>
  <c r="AZ433" i="3"/>
  <c r="AZ465" i="3"/>
  <c r="AZ586" i="3"/>
  <c r="W12" i="33"/>
  <c r="AC12" i="33"/>
  <c r="AA32" i="36"/>
  <c r="S32" i="36"/>
  <c r="AZ550" i="3"/>
  <c r="AZ437" i="3"/>
  <c r="AZ441" i="3"/>
  <c r="AZ457" i="3"/>
  <c r="AZ473" i="3"/>
  <c r="AZ490" i="3"/>
  <c r="AA39" i="34"/>
  <c r="BL14" i="3"/>
  <c r="AZ266" i="3"/>
  <c r="U30" i="33"/>
  <c r="AC13" i="34"/>
  <c r="AA47" i="34"/>
  <c r="W28" i="37"/>
  <c r="S19" i="39"/>
  <c r="F12" i="33"/>
  <c r="H12" i="39"/>
  <c r="AB12" i="39" s="1"/>
  <c r="F39" i="40"/>
  <c r="BA14" i="3"/>
  <c r="AZ14" i="3" s="1"/>
  <c r="AZ367" i="3"/>
  <c r="AZ213" i="3"/>
  <c r="AZ224" i="3"/>
  <c r="AZ234" i="3"/>
  <c r="AZ250" i="3"/>
  <c r="AZ254" i="3"/>
  <c r="AZ281" i="3"/>
  <c r="AZ286" i="3"/>
  <c r="AZ297" i="3"/>
  <c r="AZ149" i="3"/>
  <c r="AZ157" i="3"/>
  <c r="AZ165" i="3"/>
  <c r="AZ173" i="3"/>
  <c r="AZ181" i="3"/>
  <c r="AZ189" i="3"/>
  <c r="AZ197" i="3"/>
  <c r="AZ19" i="3"/>
  <c r="AZ35" i="3"/>
  <c r="S12" i="1"/>
  <c r="AQ12" i="1" s="1"/>
  <c r="R12" i="1"/>
  <c r="B12" i="1"/>
  <c r="E12" i="1" s="1"/>
  <c r="B10" i="1"/>
  <c r="E10" i="1" s="1"/>
  <c r="D1" i="66"/>
  <c r="E10" i="66" s="1"/>
  <c r="AZ80" i="3"/>
  <c r="AZ84" i="3"/>
  <c r="AZ107" i="3"/>
  <c r="AZ111" i="3"/>
  <c r="K12" i="1"/>
  <c r="M12" i="1" s="1"/>
  <c r="O12" i="1" s="1"/>
  <c r="P12" i="1" s="1"/>
  <c r="S13" i="1"/>
  <c r="AR13" i="1" s="1"/>
  <c r="R13"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A14" i="21"/>
  <c r="AB8" i="21"/>
  <c r="S8" i="21"/>
  <c r="M3" i="43"/>
  <c r="N10" i="43"/>
  <c r="M1" i="43"/>
  <c r="M8" i="43"/>
  <c r="N8" i="43"/>
  <c r="N9" i="43"/>
  <c r="D120" i="9"/>
  <c r="C18" i="9"/>
  <c r="D18" i="9" s="1"/>
  <c r="F34" i="67"/>
  <c r="F62" i="67" s="1"/>
  <c r="M20" i="67"/>
  <c r="F34" i="15"/>
  <c r="F62" i="15" s="1"/>
  <c r="G13" i="3"/>
  <c r="G5" i="3" s="1"/>
  <c r="B3" i="3" s="1"/>
  <c r="BA13" i="3"/>
  <c r="BL17" i="3"/>
  <c r="BL13" i="3"/>
  <c r="J56" i="9"/>
  <c r="J57" i="9" s="1"/>
  <c r="A24" i="51"/>
  <c r="B18" i="72" s="1"/>
  <c r="U29" i="34"/>
  <c r="E32" i="6"/>
  <c r="G1" i="68"/>
  <c r="K1" i="12"/>
  <c r="E19" i="69"/>
  <c r="E19" i="68"/>
  <c r="E19" i="11"/>
  <c r="E1" i="73"/>
  <c r="K1" i="73" s="1"/>
  <c r="G41" i="69"/>
  <c r="G22" i="69"/>
  <c r="G41" i="68"/>
  <c r="G22" i="68"/>
  <c r="G27" i="12"/>
  <c r="G26" i="12"/>
  <c r="G41" i="11"/>
  <c r="G22" i="11"/>
  <c r="G25" i="12"/>
  <c r="C100" i="43"/>
  <c r="E11" i="43"/>
  <c r="E10" i="43"/>
  <c r="E9" i="43"/>
  <c r="E8" i="43"/>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92" i="9"/>
  <c r="H62" i="43"/>
  <c r="H66" i="43"/>
  <c r="H61" i="43"/>
  <c r="H65" i="43"/>
  <c r="H60" i="43"/>
  <c r="H64" i="43"/>
  <c r="H59" i="43"/>
  <c r="H63" i="43"/>
  <c r="H67" i="43"/>
  <c r="H55" i="43"/>
  <c r="H51" i="43"/>
  <c r="H56" i="43"/>
  <c r="H76" i="43"/>
  <c r="H72" i="43"/>
  <c r="H77" i="43"/>
  <c r="B6" i="1"/>
  <c r="E6" i="1" s="1"/>
  <c r="K11"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B8" i="49"/>
  <c r="E4" i="49"/>
  <c r="E11" i="49"/>
  <c r="C76" i="80"/>
  <c r="M27" i="80"/>
  <c r="F16" i="80"/>
  <c r="J15" i="80"/>
  <c r="F6" i="80"/>
  <c r="F8" i="80"/>
  <c r="F36" i="80"/>
  <c r="F43" i="81"/>
  <c r="F13" i="80"/>
  <c r="M8" i="67"/>
  <c r="F37" i="80"/>
  <c r="J15" i="67"/>
  <c r="F9" i="15"/>
  <c r="M22" i="15"/>
  <c r="M8" i="15"/>
  <c r="F38" i="80"/>
  <c r="M29" i="81"/>
  <c r="F38" i="67"/>
  <c r="F40" i="15"/>
  <c r="M24" i="80"/>
  <c r="M6" i="67"/>
  <c r="M26" i="80"/>
  <c r="F9" i="80"/>
  <c r="F42" i="80"/>
  <c r="M6" i="80"/>
  <c r="M28" i="80"/>
  <c r="F26" i="80"/>
  <c r="F8" i="15"/>
  <c r="F13" i="67"/>
  <c r="G1" i="73"/>
  <c r="F43" i="67"/>
  <c r="F40" i="80"/>
  <c r="F36" i="67"/>
  <c r="M22" i="80"/>
  <c r="M6" i="15"/>
  <c r="M9" i="80"/>
  <c r="F7" i="81"/>
  <c r="F8" i="67"/>
  <c r="M23" i="80"/>
  <c r="M8" i="80"/>
  <c r="F6" i="15"/>
  <c r="AZ21" i="3" l="1"/>
  <c r="AA35" i="39"/>
  <c r="S35" i="39"/>
  <c r="U33" i="40"/>
  <c r="AB33" i="40"/>
  <c r="AB13" i="37"/>
  <c r="U13" i="37"/>
  <c r="U46" i="34"/>
  <c r="AB46" i="34"/>
  <c r="W12" i="34"/>
  <c r="AC12" i="34"/>
  <c r="U45" i="33"/>
  <c r="AB45" i="33"/>
  <c r="AC29" i="33"/>
  <c r="W29" i="33"/>
  <c r="W28" i="21"/>
  <c r="AC28" i="21"/>
  <c r="AB12" i="21"/>
  <c r="U12" i="21"/>
  <c r="AA34" i="35"/>
  <c r="S34" i="35"/>
  <c r="F32" i="81"/>
  <c r="F60" i="81" s="1"/>
  <c r="F28" i="81"/>
  <c r="C28" i="81" s="1"/>
  <c r="M18" i="81"/>
  <c r="C11" i="79"/>
  <c r="F29" i="6"/>
  <c r="AZ99" i="3"/>
  <c r="AZ75" i="3"/>
  <c r="AZ73" i="3"/>
  <c r="AZ292" i="3"/>
  <c r="AZ283" i="3"/>
  <c r="AZ253" i="3"/>
  <c r="AZ232" i="3"/>
  <c r="AZ385" i="3"/>
  <c r="AZ489" i="3"/>
  <c r="AZ472" i="3"/>
  <c r="AZ470" i="3"/>
  <c r="AZ416" i="3"/>
  <c r="AZ46" i="3"/>
  <c r="AZ42" i="3"/>
  <c r="AZ32" i="3"/>
  <c r="AZ194" i="3"/>
  <c r="AZ162" i="3"/>
  <c r="AZ274" i="3"/>
  <c r="AZ270" i="3"/>
  <c r="AZ243" i="3"/>
  <c r="AZ218" i="3"/>
  <c r="AZ453" i="3"/>
  <c r="S12" i="40"/>
  <c r="AA12" i="40"/>
  <c r="AC36" i="35"/>
  <c r="W36" i="35"/>
  <c r="S12" i="35"/>
  <c r="AA12" i="35"/>
  <c r="W30" i="34"/>
  <c r="AC30" i="34"/>
  <c r="AA45" i="33"/>
  <c r="S45" i="33"/>
  <c r="AA9" i="33"/>
  <c r="S9" i="33"/>
  <c r="AC44" i="21"/>
  <c r="W44" i="21"/>
  <c r="S12" i="21"/>
  <c r="AA12" i="21"/>
  <c r="U23" i="35"/>
  <c r="AB23" i="35"/>
  <c r="G28" i="6"/>
  <c r="G30" i="6" s="1"/>
  <c r="G31" i="6" s="1"/>
  <c r="AP6" i="1"/>
  <c r="AZ17" i="3"/>
  <c r="AJ11" i="43"/>
  <c r="AJ13" i="43" s="1"/>
  <c r="E5" i="6"/>
  <c r="D9" i="11" s="1"/>
  <c r="C9" i="11" s="1"/>
  <c r="E101" i="43"/>
  <c r="E104" i="43" s="1"/>
  <c r="F27" i="6"/>
  <c r="E56" i="39"/>
  <c r="E51" i="40"/>
  <c r="T12" i="1"/>
  <c r="AE11" i="43"/>
  <c r="AE13" i="43" s="1"/>
  <c r="Z11" i="43"/>
  <c r="Z13" i="43" s="1"/>
  <c r="L101" i="43"/>
  <c r="L109" i="43" s="1"/>
  <c r="AA11" i="43"/>
  <c r="AA13" i="43" s="1"/>
  <c r="Z7" i="43"/>
  <c r="AH11" i="43"/>
  <c r="AH13" i="43" s="1"/>
  <c r="H101" i="43"/>
  <c r="H103" i="43" s="1"/>
  <c r="F28" i="6"/>
  <c r="Y11" i="43"/>
  <c r="Y13" i="43" s="1"/>
  <c r="AI11" i="43"/>
  <c r="AI13" i="43" s="1"/>
  <c r="AF11" i="43"/>
  <c r="AF13" i="43" s="1"/>
  <c r="M101" i="43"/>
  <c r="M109" i="43" s="1"/>
  <c r="E15" i="6"/>
  <c r="E60" i="40" s="1"/>
  <c r="AG11" i="43"/>
  <c r="AG13" i="43" s="1"/>
  <c r="AB11" i="43"/>
  <c r="AB13" i="43" s="1"/>
  <c r="I101" i="43"/>
  <c r="I109" i="43" s="1"/>
  <c r="H22" i="43"/>
  <c r="E14" i="6"/>
  <c r="E64" i="39" s="1"/>
  <c r="E10" i="6"/>
  <c r="E12" i="6"/>
  <c r="E62" i="39" s="1"/>
  <c r="E11" i="6"/>
  <c r="E61" i="39" s="1"/>
  <c r="F71" i="81"/>
  <c r="F50" i="81"/>
  <c r="M7" i="81"/>
  <c r="M11" i="1"/>
  <c r="F68" i="80"/>
  <c r="F65" i="80"/>
  <c r="F66" i="80"/>
  <c r="Q71" i="80"/>
  <c r="F51" i="80"/>
  <c r="C27" i="80"/>
  <c r="F64" i="80"/>
  <c r="W17" i="21"/>
  <c r="G7" i="21"/>
  <c r="I7" i="21"/>
  <c r="E7" i="21"/>
  <c r="C7" i="43"/>
  <c r="AB38" i="40"/>
  <c r="U38" i="40"/>
  <c r="U12" i="33"/>
  <c r="AB12" i="33"/>
  <c r="S39" i="37"/>
  <c r="AA39" i="37"/>
  <c r="AB39" i="37"/>
  <c r="U39" i="37"/>
  <c r="F53" i="9"/>
  <c r="F32" i="80"/>
  <c r="F60" i="80" s="1"/>
  <c r="F28" i="80"/>
  <c r="C28" i="80" s="1"/>
  <c r="M18" i="80"/>
  <c r="H9" i="68"/>
  <c r="H18" i="12" s="1"/>
  <c r="C8" i="68"/>
  <c r="C58" i="79"/>
  <c r="D58" i="79" s="1"/>
  <c r="E58" i="79" s="1"/>
  <c r="F58" i="79" s="1"/>
  <c r="G58" i="79" s="1"/>
  <c r="H58" i="79" s="1"/>
  <c r="I58" i="79" s="1"/>
  <c r="J58" i="79" s="1"/>
  <c r="K58" i="79" s="1"/>
  <c r="L58" i="79" s="1"/>
  <c r="M58" i="79" s="1"/>
  <c r="N58" i="79" s="1"/>
  <c r="O58" i="79" s="1"/>
  <c r="G7" i="79"/>
  <c r="I7" i="79"/>
  <c r="J7" i="79" s="1"/>
  <c r="E7" i="79"/>
  <c r="AA40" i="40"/>
  <c r="S40" i="40"/>
  <c r="AC25" i="37"/>
  <c r="W25" i="37"/>
  <c r="AC36" i="39"/>
  <c r="W36" i="39"/>
  <c r="O10" i="1"/>
  <c r="P10" i="1" s="1"/>
  <c r="AC11" i="43"/>
  <c r="AC13" i="43" s="1"/>
  <c r="S5" i="43"/>
  <c r="AD11" i="43"/>
  <c r="AD13" i="43" s="1"/>
  <c r="G22" i="43"/>
  <c r="D101" i="43"/>
  <c r="D109" i="43" s="1"/>
  <c r="W45" i="39"/>
  <c r="AC45" i="39"/>
  <c r="U31" i="39"/>
  <c r="S31" i="39"/>
  <c r="AR12" i="1"/>
  <c r="C101" i="43"/>
  <c r="C102" i="43" s="1"/>
  <c r="S2" i="43" s="1"/>
  <c r="F101" i="43"/>
  <c r="F103" i="43" s="1"/>
  <c r="N104" i="46"/>
  <c r="E22" i="43"/>
  <c r="B113" i="43"/>
  <c r="I117" i="43" s="1"/>
  <c r="J117" i="43" s="1"/>
  <c r="K117" i="43" s="1"/>
  <c r="L117" i="43" s="1"/>
  <c r="M117" i="43" s="1"/>
  <c r="J101" i="43"/>
  <c r="J109" i="43" s="1"/>
  <c r="G101" i="43"/>
  <c r="G103" i="43" s="1"/>
  <c r="N101" i="43"/>
  <c r="N109" i="43" s="1"/>
  <c r="K101" i="43"/>
  <c r="K106" i="43" s="1"/>
  <c r="E13" i="6"/>
  <c r="E58" i="40" s="1"/>
  <c r="C33" i="21"/>
  <c r="C33" i="79"/>
  <c r="J11" i="39"/>
  <c r="H11" i="39"/>
  <c r="F11" i="39"/>
  <c r="F11" i="21"/>
  <c r="J11" i="21"/>
  <c r="H11" i="21"/>
  <c r="J11" i="79"/>
  <c r="H11" i="79"/>
  <c r="F11" i="79"/>
  <c r="AC23" i="39"/>
  <c r="W23" i="39"/>
  <c r="C109" i="43"/>
  <c r="BA5" i="3"/>
  <c r="E27" i="6" s="1"/>
  <c r="E29" i="6"/>
  <c r="K15" i="1" s="1"/>
  <c r="C4" i="4"/>
  <c r="K4" i="4" s="1"/>
  <c r="B46" i="48" s="1"/>
  <c r="B4" i="72" s="1"/>
  <c r="J53" i="67"/>
  <c r="AQ13" i="1"/>
  <c r="AZ13" i="3"/>
  <c r="AZ5" i="3" s="1"/>
  <c r="AY6" i="3" s="1"/>
  <c r="M6" i="1"/>
  <c r="O6" i="1" s="1"/>
  <c r="P6" i="1" s="1"/>
  <c r="F30" i="68"/>
  <c r="C30" i="68" s="1"/>
  <c r="F30" i="11"/>
  <c r="C48" i="11" s="1"/>
  <c r="F28" i="67"/>
  <c r="C28" i="67" s="1"/>
  <c r="F31" i="12"/>
  <c r="F52" i="9"/>
  <c r="M18" i="67"/>
  <c r="F32" i="67"/>
  <c r="F60" i="67" s="1"/>
  <c r="F30" i="69"/>
  <c r="C48" i="69" s="1"/>
  <c r="F32" i="15"/>
  <c r="F60" i="15" s="1"/>
  <c r="M18" i="15"/>
  <c r="F28" i="15"/>
  <c r="C28" i="15" s="1"/>
  <c r="D68" i="39"/>
  <c r="D70" i="39" s="1"/>
  <c r="P24" i="43"/>
  <c r="B66" i="40" s="1"/>
  <c r="T13" i="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S37" i="21"/>
  <c r="AA23" i="21"/>
  <c r="AB15" i="21"/>
  <c r="J23" i="21"/>
  <c r="F85" i="21"/>
  <c r="G85" i="21" s="1"/>
  <c r="H23" i="21"/>
  <c r="S13" i="21"/>
  <c r="D6" i="52"/>
  <c r="D121" i="9"/>
  <c r="D7" i="52" s="1"/>
  <c r="K120" i="9"/>
  <c r="S6" i="43"/>
  <c r="C23" i="43"/>
  <c r="C21" i="43" s="1"/>
  <c r="S4" i="43"/>
  <c r="S3" i="43"/>
  <c r="S7"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6" i="43"/>
  <c r="H107" i="43"/>
  <c r="L105"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5" i="62"/>
  <c r="B73" i="72" s="1"/>
  <c r="C10" i="15"/>
  <c r="G16" i="1"/>
  <c r="H10" i="40" s="1"/>
  <c r="U10" i="40" s="1"/>
  <c r="F51" i="67"/>
  <c r="F71" i="67"/>
  <c r="F66" i="67"/>
  <c r="F64" i="67"/>
  <c r="F51" i="15"/>
  <c r="F68" i="15"/>
  <c r="C10" i="67"/>
  <c r="AP7" i="1"/>
  <c r="M7" i="1"/>
  <c r="O7" i="1" s="1"/>
  <c r="Q16" i="1"/>
  <c r="F27" i="69" s="1"/>
  <c r="H16" i="1"/>
  <c r="AB45" i="21"/>
  <c r="W32" i="21"/>
  <c r="AC32" i="21"/>
  <c r="AB9" i="21"/>
  <c r="U9" i="21"/>
  <c r="AA32" i="21"/>
  <c r="S32" i="21"/>
  <c r="W9" i="21"/>
  <c r="AC9" i="21"/>
  <c r="AB32" i="21"/>
  <c r="U32" i="21"/>
  <c r="AA10" i="21"/>
  <c r="S10" i="21"/>
  <c r="F59" i="67"/>
  <c r="F31" i="67"/>
  <c r="F59" i="15"/>
  <c r="M17" i="15"/>
  <c r="M17" i="67"/>
  <c r="F31" i="15"/>
  <c r="F7" i="80"/>
  <c r="M29" i="80"/>
  <c r="F36" i="15"/>
  <c r="M24" i="15"/>
  <c r="L48" i="67"/>
  <c r="L47" i="81"/>
  <c r="F37" i="81"/>
  <c r="F36" i="81"/>
  <c r="M27" i="81"/>
  <c r="M6" i="81"/>
  <c r="F6" i="81"/>
  <c r="F16" i="67"/>
  <c r="M29" i="15"/>
  <c r="F43" i="80"/>
  <c r="F38" i="15"/>
  <c r="F7" i="15"/>
  <c r="F16" i="15"/>
  <c r="L48" i="15"/>
  <c r="F8" i="81"/>
  <c r="F38" i="81"/>
  <c r="F16" i="81"/>
  <c r="M24" i="81"/>
  <c r="J15" i="81"/>
  <c r="M8" i="81"/>
  <c r="F42" i="67"/>
  <c r="F26" i="67"/>
  <c r="C16" i="80"/>
  <c r="M9" i="15"/>
  <c r="F26" i="15"/>
  <c r="L48" i="80"/>
  <c r="C76" i="15"/>
  <c r="M24" i="67"/>
  <c r="L47" i="67"/>
  <c r="F13" i="15"/>
  <c r="C76" i="81"/>
  <c r="M26" i="81"/>
  <c r="M28" i="81"/>
  <c r="F13" i="81"/>
  <c r="F42" i="81"/>
  <c r="M9" i="81"/>
  <c r="M26" i="67"/>
  <c r="M22" i="67"/>
  <c r="L47" i="80"/>
  <c r="F37" i="15"/>
  <c r="L47" i="15"/>
  <c r="F40" i="67"/>
  <c r="L48" i="81"/>
  <c r="M22" i="81"/>
  <c r="F40" i="81"/>
  <c r="F9" i="81"/>
  <c r="M23" i="81"/>
  <c r="F26" i="81"/>
  <c r="C76" i="67"/>
  <c r="M23" i="67"/>
  <c r="M28" i="15"/>
  <c r="F7" i="67"/>
  <c r="F42" i="15"/>
  <c r="F37" i="67"/>
  <c r="F43" i="15"/>
  <c r="M23" i="15"/>
  <c r="F6" i="67"/>
  <c r="M26" i="15"/>
  <c r="M28" i="67"/>
  <c r="F9" i="67"/>
  <c r="M9" i="67"/>
  <c r="M29" i="67"/>
  <c r="J15" i="15"/>
  <c r="C27" i="81" l="1"/>
  <c r="F68" i="81"/>
  <c r="F66" i="81"/>
  <c r="F51" i="81"/>
  <c r="L56" i="81"/>
  <c r="L57" i="81"/>
  <c r="L60" i="81"/>
  <c r="J57" i="81"/>
  <c r="J55" i="81" s="1"/>
  <c r="J58" i="81" s="1"/>
  <c r="Q50" i="81" s="1"/>
  <c r="J59" i="81"/>
  <c r="I54" i="81"/>
  <c r="J60" i="81"/>
  <c r="Q48" i="81" s="1"/>
  <c r="J53" i="81"/>
  <c r="I54" i="15"/>
  <c r="J53" i="15"/>
  <c r="L56" i="15" s="1"/>
  <c r="J57" i="15"/>
  <c r="J55" i="15" s="1"/>
  <c r="J58" i="15" s="1"/>
  <c r="Q50" i="15" s="1"/>
  <c r="F68" i="67"/>
  <c r="M59" i="15"/>
  <c r="L58" i="15"/>
  <c r="Q73" i="15" s="1"/>
  <c r="N59" i="15"/>
  <c r="C6" i="15"/>
  <c r="M7" i="15"/>
  <c r="F50" i="15"/>
  <c r="F65" i="15"/>
  <c r="F66" i="15"/>
  <c r="L58" i="80"/>
  <c r="N59" i="80"/>
  <c r="M59" i="80"/>
  <c r="L59" i="80" s="1"/>
  <c r="F71" i="80"/>
  <c r="C6" i="81"/>
  <c r="C10" i="81"/>
  <c r="F64" i="81"/>
  <c r="F65" i="81"/>
  <c r="Q71" i="81"/>
  <c r="N59" i="81"/>
  <c r="L58" i="81"/>
  <c r="M59" i="81"/>
  <c r="L59" i="81" s="1"/>
  <c r="I54" i="67"/>
  <c r="L56" i="67"/>
  <c r="J57" i="67"/>
  <c r="J55" i="67" s="1"/>
  <c r="J58" i="67" s="1"/>
  <c r="Q50" i="67" s="1"/>
  <c r="L58" i="67"/>
  <c r="N59" i="67"/>
  <c r="L59" i="67" s="1"/>
  <c r="M59" i="67"/>
  <c r="F64" i="15"/>
  <c r="Q71" i="15"/>
  <c r="J53" i="80"/>
  <c r="J57" i="80"/>
  <c r="J55" i="80" s="1"/>
  <c r="J58" i="80" s="1"/>
  <c r="Q50" i="80" s="1"/>
  <c r="L56" i="80"/>
  <c r="L60" i="80"/>
  <c r="I54" i="80"/>
  <c r="J60" i="80"/>
  <c r="Q48" i="80" s="1"/>
  <c r="J59" i="80"/>
  <c r="L57" i="80"/>
  <c r="F50" i="80"/>
  <c r="C49" i="80" s="1"/>
  <c r="C48" i="80" s="1"/>
  <c r="C60" i="80" s="1"/>
  <c r="M7" i="80"/>
  <c r="C10" i="80"/>
  <c r="C6" i="80"/>
  <c r="F7" i="79"/>
  <c r="S7" i="79" s="1"/>
  <c r="C49" i="81"/>
  <c r="C48" i="81" s="1"/>
  <c r="E28" i="6"/>
  <c r="K14" i="1" s="1"/>
  <c r="M14" i="1" s="1"/>
  <c r="O14" i="1" s="1"/>
  <c r="P14" i="1" s="1"/>
  <c r="H105" i="43"/>
  <c r="I107" i="43"/>
  <c r="M103" i="43"/>
  <c r="E109" i="43"/>
  <c r="M102" i="43"/>
  <c r="F30" i="6"/>
  <c r="F31" i="6" s="1"/>
  <c r="I102" i="43"/>
  <c r="M104" i="43"/>
  <c r="I105" i="43"/>
  <c r="I104" i="43"/>
  <c r="M106" i="43"/>
  <c r="E103" i="43"/>
  <c r="E102" i="43"/>
  <c r="I103" i="43"/>
  <c r="M105" i="43"/>
  <c r="E107" i="43"/>
  <c r="C36" i="69"/>
  <c r="I106" i="43"/>
  <c r="M107" i="43"/>
  <c r="E105" i="43"/>
  <c r="H102" i="43"/>
  <c r="D9" i="68"/>
  <c r="C9" i="68" s="1"/>
  <c r="D19" i="12"/>
  <c r="C19" i="12" s="1"/>
  <c r="L107" i="43"/>
  <c r="H104" i="43"/>
  <c r="D9" i="69"/>
  <c r="C9" i="69" s="1"/>
  <c r="L103" i="43"/>
  <c r="L106" i="43"/>
  <c r="H109" i="43"/>
  <c r="H106" i="43"/>
  <c r="L104" i="43"/>
  <c r="L102" i="43"/>
  <c r="J103" i="43"/>
  <c r="E57" i="40"/>
  <c r="D104" i="43"/>
  <c r="E56" i="40"/>
  <c r="E16" i="6"/>
  <c r="E65" i="39"/>
  <c r="L46" i="80"/>
  <c r="E59" i="40"/>
  <c r="C5" i="81"/>
  <c r="C38" i="81" s="1"/>
  <c r="O11" i="1"/>
  <c r="P11" i="1" s="1"/>
  <c r="J6" i="81"/>
  <c r="J10" i="81"/>
  <c r="C60" i="81"/>
  <c r="C66" i="81"/>
  <c r="C66" i="80"/>
  <c r="F24" i="80"/>
  <c r="C24" i="80" s="1"/>
  <c r="F24" i="81"/>
  <c r="C27" i="15"/>
  <c r="F65" i="67"/>
  <c r="F70" i="67"/>
  <c r="C6" i="67"/>
  <c r="C5" i="67" s="1"/>
  <c r="C32" i="67" s="1"/>
  <c r="M7" i="67"/>
  <c r="J6" i="67" s="1"/>
  <c r="F50" i="67"/>
  <c r="C49" i="67" s="1"/>
  <c r="F71" i="15"/>
  <c r="Q71" i="67"/>
  <c r="C27" i="67"/>
  <c r="AC7" i="79"/>
  <c r="W7" i="79"/>
  <c r="AA7" i="79"/>
  <c r="H7" i="79"/>
  <c r="C5" i="80"/>
  <c r="N106" i="43"/>
  <c r="C106" i="43"/>
  <c r="D102" i="43"/>
  <c r="D105" i="43"/>
  <c r="C107" i="43"/>
  <c r="D107" i="43"/>
  <c r="D103" i="43"/>
  <c r="N104" i="43"/>
  <c r="C103" i="43"/>
  <c r="D106" i="43"/>
  <c r="N103" i="43"/>
  <c r="D22" i="43"/>
  <c r="F109" i="43"/>
  <c r="F106" i="43"/>
  <c r="D115" i="43"/>
  <c r="E115" i="43" s="1"/>
  <c r="F115" i="43" s="1"/>
  <c r="G115" i="43" s="1"/>
  <c r="H115" i="43" s="1"/>
  <c r="D117" i="43"/>
  <c r="E117" i="43" s="1"/>
  <c r="F117" i="43" s="1"/>
  <c r="G117" i="43" s="1"/>
  <c r="H117" i="43" s="1"/>
  <c r="K107" i="43"/>
  <c r="F102" i="43"/>
  <c r="G118" i="43"/>
  <c r="H118" i="43" s="1"/>
  <c r="E63" i="39"/>
  <c r="K26" i="6"/>
  <c r="M26" i="6" s="1"/>
  <c r="I26" i="6" s="1"/>
  <c r="S26" i="6" s="1"/>
  <c r="K19" i="6"/>
  <c r="S6" i="1" s="1"/>
  <c r="T6" i="1" s="1"/>
  <c r="K24" i="6"/>
  <c r="K23" i="6"/>
  <c r="K25" i="6"/>
  <c r="M25" i="6" s="1"/>
  <c r="I25" i="6" s="1"/>
  <c r="S25" i="6" s="1"/>
  <c r="K22" i="6"/>
  <c r="M22" i="6" s="1"/>
  <c r="I22" i="6" s="1"/>
  <c r="S22" i="6" s="1"/>
  <c r="K21" i="6"/>
  <c r="S8" i="1" s="1"/>
  <c r="C104" i="43"/>
  <c r="C105" i="43"/>
  <c r="K109" i="43"/>
  <c r="D118" i="43"/>
  <c r="E118" i="43" s="1"/>
  <c r="F118" i="43" s="1"/>
  <c r="F104" i="43"/>
  <c r="F107" i="43"/>
  <c r="F105" i="43"/>
  <c r="B115" i="43"/>
  <c r="C115" i="43" s="1"/>
  <c r="B118" i="43"/>
  <c r="C118" i="43" s="1"/>
  <c r="I116" i="43"/>
  <c r="J116" i="43" s="1"/>
  <c r="K116" i="43" s="1"/>
  <c r="L116" i="43" s="1"/>
  <c r="M116" i="43" s="1"/>
  <c r="D116" i="43"/>
  <c r="E116" i="43" s="1"/>
  <c r="F116" i="43" s="1"/>
  <c r="G116" i="43" s="1"/>
  <c r="H116" i="43" s="1"/>
  <c r="K104" i="43"/>
  <c r="I115" i="43"/>
  <c r="J115" i="43" s="1"/>
  <c r="K115" i="43" s="1"/>
  <c r="L115" i="43" s="1"/>
  <c r="M115" i="43" s="1"/>
  <c r="I118" i="43"/>
  <c r="J118" i="43" s="1"/>
  <c r="K118" i="43" s="1"/>
  <c r="L118" i="43" s="1"/>
  <c r="M118" i="43" s="1"/>
  <c r="B116" i="43"/>
  <c r="C116" i="43" s="1"/>
  <c r="B117" i="43"/>
  <c r="C117" i="43" s="1"/>
  <c r="K103" i="43"/>
  <c r="K102" i="43"/>
  <c r="K105" i="43"/>
  <c r="G105" i="43"/>
  <c r="G104" i="43"/>
  <c r="G107" i="43"/>
  <c r="G106" i="43"/>
  <c r="G109" i="43"/>
  <c r="G102" i="43"/>
  <c r="N102" i="43"/>
  <c r="N105" i="43"/>
  <c r="N107" i="43"/>
  <c r="J104" i="43"/>
  <c r="J105" i="43"/>
  <c r="J107" i="43"/>
  <c r="J106" i="43"/>
  <c r="J102" i="43"/>
  <c r="AB11" i="79"/>
  <c r="U11" i="79"/>
  <c r="U11" i="21"/>
  <c r="AB11" i="21"/>
  <c r="S11" i="21"/>
  <c r="AA11" i="21"/>
  <c r="AB11" i="39"/>
  <c r="U11" i="39"/>
  <c r="J33" i="79"/>
  <c r="H33" i="79"/>
  <c r="F33" i="79"/>
  <c r="AA11" i="79"/>
  <c r="S11" i="79"/>
  <c r="AC11" i="79"/>
  <c r="W11" i="79"/>
  <c r="W11" i="21"/>
  <c r="AC11" i="21"/>
  <c r="AA11" i="39"/>
  <c r="S11" i="39"/>
  <c r="W11" i="39"/>
  <c r="AC11" i="39"/>
  <c r="H33" i="21"/>
  <c r="J33" i="21"/>
  <c r="F33" i="21"/>
  <c r="C48" i="68"/>
  <c r="C30" i="69"/>
  <c r="M21" i="6"/>
  <c r="I21" i="6" s="1"/>
  <c r="S21" i="6" s="1"/>
  <c r="E30" i="6"/>
  <c r="E31" i="6" s="1"/>
  <c r="L20" i="6"/>
  <c r="L19" i="6"/>
  <c r="K16" i="1"/>
  <c r="E3" i="6"/>
  <c r="D3" i="34" s="1"/>
  <c r="B4" i="62"/>
  <c r="B71" i="72" s="1"/>
  <c r="L59" i="15"/>
  <c r="Q74" i="15" s="1"/>
  <c r="C30" i="11"/>
  <c r="E6" i="70"/>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15"/>
  <c r="F7" i="36"/>
  <c r="S7" i="36" s="1"/>
  <c r="H7" i="37"/>
  <c r="U7" i="37" s="1"/>
  <c r="J10" i="15"/>
  <c r="H6" i="3"/>
  <c r="AC6" i="3"/>
  <c r="C5" i="15"/>
  <c r="C32" i="15"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F10" i="40"/>
  <c r="AA10" i="40" s="1"/>
  <c r="H10" i="39"/>
  <c r="J10" i="39"/>
  <c r="C49" i="15"/>
  <c r="Q60" i="15"/>
  <c r="M16" i="1"/>
  <c r="N16" i="1" s="1"/>
  <c r="Q60" i="67"/>
  <c r="Q73" i="67"/>
  <c r="F27" i="11"/>
  <c r="Q61" i="67"/>
  <c r="Q74" i="67"/>
  <c r="F1" i="67"/>
  <c r="Q52" i="67"/>
  <c r="C16" i="67"/>
  <c r="C16" i="81"/>
  <c r="C16" i="15"/>
  <c r="C17" i="15"/>
  <c r="F1" i="80" l="1"/>
  <c r="Q52" i="80"/>
  <c r="Q73" i="81"/>
  <c r="Q60" i="81"/>
  <c r="Q61" i="80"/>
  <c r="Q74" i="80"/>
  <c r="Q73" i="80"/>
  <c r="Q60" i="80"/>
  <c r="Q52" i="81"/>
  <c r="F1" i="81"/>
  <c r="Q57" i="81"/>
  <c r="Q66" i="81"/>
  <c r="K20" i="6"/>
  <c r="S7" i="1" s="1"/>
  <c r="E7" i="70" s="1"/>
  <c r="J6" i="80"/>
  <c r="J10" i="80"/>
  <c r="Q66" i="80"/>
  <c r="Q57" i="80"/>
  <c r="Q74" i="81"/>
  <c r="Q61" i="81"/>
  <c r="L46" i="81"/>
  <c r="E66" i="39"/>
  <c r="C32" i="81"/>
  <c r="M20" i="6"/>
  <c r="I20" i="6" s="1"/>
  <c r="S20" i="6" s="1"/>
  <c r="O16" i="1"/>
  <c r="J5" i="81"/>
  <c r="J18" i="81" s="1"/>
  <c r="C24" i="81"/>
  <c r="M24" i="6"/>
  <c r="I24" i="6" s="1"/>
  <c r="S24" i="6" s="1"/>
  <c r="S11" i="1"/>
  <c r="C38" i="80"/>
  <c r="C32" i="80"/>
  <c r="U7" i="79"/>
  <c r="AB7" i="79"/>
  <c r="M23" i="6"/>
  <c r="I23" i="6" s="1"/>
  <c r="S23" i="6" s="1"/>
  <c r="S10" i="1"/>
  <c r="M18" i="9"/>
  <c r="B118" i="9" s="1"/>
  <c r="B14" i="74" s="1"/>
  <c r="B1" i="74" s="1"/>
  <c r="D37" i="11"/>
  <c r="D113" i="43"/>
  <c r="J22" i="43" s="1"/>
  <c r="D14" i="12"/>
  <c r="D17" i="12" s="1"/>
  <c r="C17" i="12" s="1"/>
  <c r="K27" i="6"/>
  <c r="S9" i="1"/>
  <c r="AR9" i="1" s="1"/>
  <c r="AQ6" i="1"/>
  <c r="AR6" i="1"/>
  <c r="T7" i="1"/>
  <c r="E8" i="70"/>
  <c r="AA33" i="21"/>
  <c r="S33" i="21"/>
  <c r="AB33" i="21"/>
  <c r="U33" i="21"/>
  <c r="U33" i="79"/>
  <c r="AB33" i="79"/>
  <c r="T48" i="79" s="1"/>
  <c r="G48" i="79" s="1"/>
  <c r="W33" i="21"/>
  <c r="AC33" i="21"/>
  <c r="AA33" i="79"/>
  <c r="R48" i="79" s="1"/>
  <c r="S33" i="79"/>
  <c r="W33" i="79"/>
  <c r="AC33" i="79"/>
  <c r="V48" i="79" s="1"/>
  <c r="I48" i="79" s="1"/>
  <c r="AQ8" i="1"/>
  <c r="AR8" i="1"/>
  <c r="T8" i="1"/>
  <c r="AR7" i="1"/>
  <c r="AQ7" i="1"/>
  <c r="D19" i="11"/>
  <c r="C19" i="11" s="1"/>
  <c r="C20" i="11" s="1"/>
  <c r="C25" i="11" s="1"/>
  <c r="D3" i="21"/>
  <c r="L27" i="6"/>
  <c r="M19" i="6"/>
  <c r="D3" i="37"/>
  <c r="L18" i="9"/>
  <c r="C17" i="4"/>
  <c r="B4" i="52" s="1"/>
  <c r="B43" i="72" s="1"/>
  <c r="E6" i="6"/>
  <c r="D10" i="11" s="1"/>
  <c r="C10" i="11" s="1"/>
  <c r="D3" i="33"/>
  <c r="Q61" i="15"/>
  <c r="E37" i="43"/>
  <c r="AA7" i="36"/>
  <c r="R36" i="36" s="1"/>
  <c r="E36" i="36" s="1"/>
  <c r="E40" i="36" s="1"/>
  <c r="F40" i="36" s="1"/>
  <c r="AC11" i="37"/>
  <c r="W11" i="37"/>
  <c r="AB7" i="37"/>
  <c r="T42" i="37" s="1"/>
  <c r="G42" i="37" s="1"/>
  <c r="G46" i="37" s="1"/>
  <c r="H46" i="37" s="1"/>
  <c r="W11" i="34"/>
  <c r="AC11" i="34"/>
  <c r="J5" i="67"/>
  <c r="J5" i="15"/>
  <c r="AB7" i="36"/>
  <c r="T36" i="36" s="1"/>
  <c r="C38" i="15"/>
  <c r="E38" i="43"/>
  <c r="E6" i="3"/>
  <c r="C47" i="68"/>
  <c r="D45" i="68" s="1"/>
  <c r="AA10" i="39"/>
  <c r="M19" i="9"/>
  <c r="C118" i="9" s="1"/>
  <c r="C14" i="74" s="1"/>
  <c r="B2" i="74" s="1"/>
  <c r="D19" i="6"/>
  <c r="D25" i="6"/>
  <c r="D26" i="6"/>
  <c r="D15" i="6"/>
  <c r="C18" i="4"/>
  <c r="D22" i="6"/>
  <c r="D8" i="6"/>
  <c r="D21" i="6"/>
  <c r="D23" i="6"/>
  <c r="D24" i="6"/>
  <c r="D14" i="6"/>
  <c r="D20" i="6"/>
  <c r="D5" i="6"/>
  <c r="D12" i="6"/>
  <c r="D9" i="6"/>
  <c r="D11" i="6"/>
  <c r="D10" i="6"/>
  <c r="D13" i="6"/>
  <c r="L19" i="9"/>
  <c r="D28" i="6"/>
  <c r="D29" i="6"/>
  <c r="E61" i="40"/>
  <c r="H25" i="6"/>
  <c r="H22" i="6"/>
  <c r="H21" i="6"/>
  <c r="H26" i="6"/>
  <c r="C13" i="12"/>
  <c r="P16" i="1"/>
  <c r="C11" i="12" s="1"/>
  <c r="C26" i="12"/>
  <c r="D25" i="12" s="1"/>
  <c r="F34" i="11"/>
  <c r="F11" i="12"/>
  <c r="F34" i="68"/>
  <c r="C36" i="68" s="1"/>
  <c r="AC10" i="40"/>
  <c r="C26" i="68"/>
  <c r="D22" i="68" s="1"/>
  <c r="C44" i="68"/>
  <c r="D41" i="68" s="1"/>
  <c r="C26" i="69"/>
  <c r="D22" i="69" s="1"/>
  <c r="C44" i="69"/>
  <c r="D41" i="69" s="1"/>
  <c r="C26" i="11"/>
  <c r="D22" i="11" s="1"/>
  <c r="C44" i="11"/>
  <c r="D41" i="11" s="1"/>
  <c r="C23" i="11"/>
  <c r="E33" i="43"/>
  <c r="G35" i="43"/>
  <c r="I35" i="43" s="1"/>
  <c r="E35" i="43"/>
  <c r="C30" i="43"/>
  <c r="E30" i="43" s="1"/>
  <c r="E29"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W10" i="39"/>
  <c r="AC10" i="39"/>
  <c r="U10" i="39"/>
  <c r="AB10" i="39"/>
  <c r="F50" i="11"/>
  <c r="F50" i="69"/>
  <c r="F50" i="68"/>
  <c r="C47" i="11"/>
  <c r="D45" i="11" s="1"/>
  <c r="C29" i="11"/>
  <c r="D27" i="11" s="1"/>
  <c r="L16" i="1"/>
  <c r="C17" i="80"/>
  <c r="C17" i="81"/>
  <c r="AE11" i="1"/>
  <c r="AE10" i="1"/>
  <c r="J5" i="80" l="1"/>
  <c r="C28" i="11"/>
  <c r="C27" i="11" s="1"/>
  <c r="H20" i="6"/>
  <c r="R20" i="6" s="1"/>
  <c r="R7" i="1" s="1"/>
  <c r="H24" i="6"/>
  <c r="R24" i="6" s="1"/>
  <c r="R11" i="1" s="1"/>
  <c r="J24" i="81"/>
  <c r="J26" i="81"/>
  <c r="E11" i="70"/>
  <c r="AQ11" i="1"/>
  <c r="T11" i="1"/>
  <c r="AR11" i="1"/>
  <c r="C37" i="11"/>
  <c r="V48" i="21"/>
  <c r="I48" i="21" s="1"/>
  <c r="H23" i="6"/>
  <c r="E10" i="70"/>
  <c r="AQ10" i="1"/>
  <c r="T10" i="1"/>
  <c r="AR10" i="1"/>
  <c r="AQ9" i="1"/>
  <c r="T9" i="1"/>
  <c r="R49" i="79"/>
  <c r="E48" i="79"/>
  <c r="I53" i="79" s="1"/>
  <c r="J53" i="79" s="1"/>
  <c r="I52" i="79"/>
  <c r="J52" i="79" s="1"/>
  <c r="G53" i="79"/>
  <c r="H53" i="79" s="1"/>
  <c r="G52" i="79"/>
  <c r="H52" i="79" s="1"/>
  <c r="D10" i="68"/>
  <c r="C10" i="68" s="1"/>
  <c r="R25" i="6"/>
  <c r="D20" i="12"/>
  <c r="C20" i="12" s="1"/>
  <c r="C18" i="12" s="1"/>
  <c r="C24" i="11"/>
  <c r="C22" i="11" s="1"/>
  <c r="I19" i="6"/>
  <c r="M27" i="6"/>
  <c r="C34" i="11"/>
  <c r="C35" i="11" s="1"/>
  <c r="D6" i="6"/>
  <c r="C36" i="11"/>
  <c r="J24" i="67"/>
  <c r="J18" i="67"/>
  <c r="J24" i="15"/>
  <c r="J18" i="15"/>
  <c r="G36" i="36"/>
  <c r="R37" i="36"/>
  <c r="AB7" i="34"/>
  <c r="T49" i="34" s="1"/>
  <c r="G49" i="34" s="1"/>
  <c r="G53" i="34" s="1"/>
  <c r="H53" i="34" s="1"/>
  <c r="W7" i="21"/>
  <c r="AA7" i="21"/>
  <c r="R48" i="21" s="1"/>
  <c r="E48" i="21" s="1"/>
  <c r="E52" i="21" s="1"/>
  <c r="F52" i="21" s="1"/>
  <c r="R26" i="6"/>
  <c r="R23" i="6"/>
  <c r="R10" i="1" s="1"/>
  <c r="R21" i="6"/>
  <c r="R8" i="1" s="1"/>
  <c r="R22" i="6"/>
  <c r="R9" i="1" s="1"/>
  <c r="D30" i="6"/>
  <c r="D16" i="6"/>
  <c r="A7" i="51"/>
  <c r="B7" i="72" s="1"/>
  <c r="C4" i="52"/>
  <c r="B45" i="72" s="1"/>
  <c r="A10" i="51"/>
  <c r="B9" i="72" s="1"/>
  <c r="D27" i="6"/>
  <c r="C12" i="12"/>
  <c r="C15" i="12"/>
  <c r="C34" i="68"/>
  <c r="U7" i="2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14" i="12"/>
  <c r="F41" i="81"/>
  <c r="C14" i="81"/>
  <c r="C14" i="80"/>
  <c r="E6" i="76"/>
  <c r="F35" i="80"/>
  <c r="F35" i="81"/>
  <c r="M21" i="81"/>
  <c r="M21" i="80"/>
  <c r="F69" i="81" l="1"/>
  <c r="J29" i="81"/>
  <c r="J26" i="80"/>
  <c r="J18" i="80"/>
  <c r="J24" i="80"/>
  <c r="C31" i="11"/>
  <c r="C15" i="81"/>
  <c r="C18" i="81"/>
  <c r="J20" i="81"/>
  <c r="F63" i="81"/>
  <c r="C62" i="81" s="1"/>
  <c r="C34" i="81"/>
  <c r="C15" i="80"/>
  <c r="C18" i="80"/>
  <c r="J20" i="80"/>
  <c r="C34" i="80"/>
  <c r="F63" i="80"/>
  <c r="C62" i="80" s="1"/>
  <c r="D19" i="68"/>
  <c r="D37" i="68" s="1"/>
  <c r="C37" i="68" s="1"/>
  <c r="E53" i="79"/>
  <c r="F53" i="79" s="1"/>
  <c r="E52" i="79"/>
  <c r="F52" i="79" s="1"/>
  <c r="C49" i="79"/>
  <c r="C48" i="79"/>
  <c r="C38" i="11"/>
  <c r="C33" i="11" s="1"/>
  <c r="C42" i="11" s="1"/>
  <c r="S19" i="6"/>
  <c r="S27" i="6" s="1"/>
  <c r="H19" i="6"/>
  <c r="I27" i="6"/>
  <c r="D31" i="6"/>
  <c r="I6" i="6" s="1"/>
  <c r="I7" i="6" s="1"/>
  <c r="E2" i="76"/>
  <c r="B2" i="43"/>
  <c r="R49" i="21"/>
  <c r="C48" i="21" s="1"/>
  <c r="G54" i="34"/>
  <c r="H54" i="34" s="1"/>
  <c r="I53" i="21"/>
  <c r="J53" i="21" s="1"/>
  <c r="C37" i="36"/>
  <c r="C36" i="36"/>
  <c r="G40" i="36"/>
  <c r="H40" i="36" s="1"/>
  <c r="E41" i="36"/>
  <c r="F41" i="36" s="1"/>
  <c r="G41" i="36"/>
  <c r="H41" i="36" s="1"/>
  <c r="C19" i="68"/>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F35" i="67"/>
  <c r="M21" i="67"/>
  <c r="M21" i="15"/>
  <c r="F35" i="15"/>
  <c r="B6" i="76"/>
  <c r="C19" i="81" l="1"/>
  <c r="C20" i="81" s="1"/>
  <c r="C19" i="80"/>
  <c r="C20" i="80" s="1"/>
  <c r="C26" i="80" s="1"/>
  <c r="B3" i="79"/>
  <c r="F6" i="12" s="1"/>
  <c r="B2" i="79"/>
  <c r="F8" i="12" s="1"/>
  <c r="R19" i="6"/>
  <c r="H27" i="6"/>
  <c r="I5" i="6"/>
  <c r="B2" i="76"/>
  <c r="B3" i="76" s="1"/>
  <c r="B3" i="43"/>
  <c r="C49" i="21"/>
  <c r="F63" i="67"/>
  <c r="C62" i="67" s="1"/>
  <c r="C34" i="67"/>
  <c r="J20" i="67"/>
  <c r="C24" i="68"/>
  <c r="J20" i="15"/>
  <c r="F63" i="15"/>
  <c r="C62" i="15" s="1"/>
  <c r="C34" i="15"/>
  <c r="C22" i="12"/>
  <c r="C33" i="68"/>
  <c r="I63" i="40"/>
  <c r="H65" i="40"/>
  <c r="C39" i="11"/>
  <c r="C43" i="11" s="1"/>
  <c r="C41" i="11" s="1"/>
  <c r="I70" i="39"/>
  <c r="C26" i="81" l="1"/>
  <c r="C23" i="81"/>
  <c r="C23" i="80"/>
  <c r="C29" i="80" s="1"/>
  <c r="R6" i="1"/>
  <c r="R16" i="1" s="1"/>
  <c r="R27" i="6"/>
  <c r="C39" i="68"/>
  <c r="C43" i="68" s="1"/>
  <c r="C42" i="68"/>
  <c r="J63" i="40"/>
  <c r="I65" i="40"/>
  <c r="C46" i="11"/>
  <c r="C45" i="11" s="1"/>
  <c r="C49" i="11" s="1"/>
  <c r="C51" i="11" s="1"/>
  <c r="C52" i="11" s="1"/>
  <c r="B2" i="11" s="1"/>
  <c r="B3" i="11" s="1"/>
  <c r="J70" i="39"/>
  <c r="C29" i="81" l="1"/>
  <c r="C57" i="81" s="1"/>
  <c r="C64" i="81" s="1"/>
  <c r="C57" i="80"/>
  <c r="J14" i="80"/>
  <c r="C33" i="80"/>
  <c r="C31" i="80" s="1"/>
  <c r="C36" i="80"/>
  <c r="Q49" i="80"/>
  <c r="J19" i="80"/>
  <c r="J17" i="80" s="1"/>
  <c r="C13" i="80"/>
  <c r="C41" i="68"/>
  <c r="C46" i="68"/>
  <c r="C45" i="68" s="1"/>
  <c r="K63" i="40"/>
  <c r="J65" i="40"/>
  <c r="K70" i="39"/>
  <c r="C56" i="11"/>
  <c r="C57" i="11" s="1"/>
  <c r="J19" i="81" l="1"/>
  <c r="J17" i="81" s="1"/>
  <c r="C61" i="81"/>
  <c r="C59" i="81" s="1"/>
  <c r="J14" i="81"/>
  <c r="J13" i="81" s="1"/>
  <c r="J23" i="81" s="1"/>
  <c r="C33" i="81"/>
  <c r="C31" i="81" s="1"/>
  <c r="C13" i="81"/>
  <c r="C37" i="81" s="1"/>
  <c r="Q49" i="81"/>
  <c r="C36" i="81"/>
  <c r="Q70" i="80"/>
  <c r="C75" i="80"/>
  <c r="C37" i="80"/>
  <c r="C30" i="80" s="1"/>
  <c r="C39" i="80" s="1"/>
  <c r="C56" i="80"/>
  <c r="C65" i="80" s="1"/>
  <c r="J13" i="80"/>
  <c r="J23" i="80" s="1"/>
  <c r="J22" i="80"/>
  <c r="C61" i="80"/>
  <c r="C59" i="80" s="1"/>
  <c r="C64" i="80"/>
  <c r="C49" i="68"/>
  <c r="C51" i="68" s="1"/>
  <c r="L63" i="40"/>
  <c r="K65" i="40"/>
  <c r="L70" i="39"/>
  <c r="E2" i="70"/>
  <c r="C34" i="69"/>
  <c r="L51" i="80"/>
  <c r="C17" i="67"/>
  <c r="Q70" i="81" l="1"/>
  <c r="C75" i="81"/>
  <c r="C56" i="81"/>
  <c r="C65" i="81" s="1"/>
  <c r="C58" i="81" s="1"/>
  <c r="C67" i="81" s="1"/>
  <c r="C68" i="81" s="1"/>
  <c r="C71" i="81" s="1"/>
  <c r="J22" i="81"/>
  <c r="J16" i="81" s="1"/>
  <c r="J25" i="81" s="1"/>
  <c r="C30" i="81"/>
  <c r="C39" i="81" s="1"/>
  <c r="J16" i="80"/>
  <c r="J25" i="80" s="1"/>
  <c r="Q67" i="80"/>
  <c r="C80" i="80"/>
  <c r="C79" i="80" s="1"/>
  <c r="Q69" i="80"/>
  <c r="Q68" i="80" s="1"/>
  <c r="C58" i="80"/>
  <c r="C67" i="80" s="1"/>
  <c r="M63" i="40"/>
  <c r="L65" i="40"/>
  <c r="M70" i="39"/>
  <c r="C35" i="69"/>
  <c r="C38" i="69"/>
  <c r="D10" i="69"/>
  <c r="L51" i="81"/>
  <c r="C80" i="81" l="1"/>
  <c r="C79" i="81" s="1"/>
  <c r="Q69" i="81"/>
  <c r="Q68" i="81" s="1"/>
  <c r="C40" i="81"/>
  <c r="Q67" i="81"/>
  <c r="N63" i="40"/>
  <c r="M65" i="40"/>
  <c r="O70" i="39"/>
  <c r="N70" i="39"/>
  <c r="D19" i="69"/>
  <c r="C10" i="69"/>
  <c r="C8" i="69" s="1"/>
  <c r="C5" i="69" s="1"/>
  <c r="C43" i="81" l="1"/>
  <c r="Q65" i="81"/>
  <c r="Q75" i="81" s="1"/>
  <c r="C83" i="81"/>
  <c r="C82" i="81" s="1"/>
  <c r="Q47" i="81"/>
  <c r="Q53" i="81" s="1"/>
  <c r="Q56" i="81"/>
  <c r="Q62" i="81" s="1"/>
  <c r="C46" i="81"/>
  <c r="B2" i="81"/>
  <c r="O63" i="40"/>
  <c r="O65" i="40" s="1"/>
  <c r="N65" i="40"/>
  <c r="C23" i="69"/>
  <c r="C19" i="69"/>
  <c r="C24" i="69" s="1"/>
  <c r="D37" i="69"/>
  <c r="C37" i="69" s="1"/>
  <c r="C33" i="69" s="1"/>
  <c r="C14" i="67"/>
  <c r="H8" i="12" l="1"/>
  <c r="B3" i="81"/>
  <c r="H6" i="12" s="1"/>
  <c r="F7" i="40"/>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AE8" i="1"/>
  <c r="C66" i="15" l="1"/>
  <c r="C60" i="15"/>
  <c r="C59" i="15" s="1"/>
  <c r="AG6" i="1"/>
  <c r="C80" i="15"/>
  <c r="C79" i="15" s="1"/>
  <c r="C65" i="15"/>
  <c r="Q68" i="15"/>
  <c r="L57" i="15"/>
  <c r="L60" i="15" s="1"/>
  <c r="M27" i="15"/>
  <c r="L51" i="15"/>
  <c r="F41" i="67"/>
  <c r="M27" i="67"/>
  <c r="F41" i="15"/>
  <c r="F41" i="80"/>
  <c r="J29" i="80" l="1"/>
  <c r="F69" i="80"/>
  <c r="C68" i="80" s="1"/>
  <c r="C71" i="80" s="1"/>
  <c r="C40" i="80"/>
  <c r="Q67" i="15"/>
  <c r="J26" i="15"/>
  <c r="J29" i="15" s="1"/>
  <c r="J26" i="67"/>
  <c r="J29" i="67" s="1"/>
  <c r="C58" i="15"/>
  <c r="C67" i="15" s="1"/>
  <c r="F69" i="15"/>
  <c r="C40" i="15"/>
  <c r="C43" i="15" s="1"/>
  <c r="L46" i="15"/>
  <c r="Q57" i="15"/>
  <c r="Q66" i="15"/>
  <c r="F69" i="67"/>
  <c r="C68" i="67" s="1"/>
  <c r="C71" i="67" s="1"/>
  <c r="C40" i="67"/>
  <c r="C83" i="67" s="1"/>
  <c r="C82" i="67" s="1"/>
  <c r="Q47" i="80" l="1"/>
  <c r="Q53" i="80" s="1"/>
  <c r="Q56" i="80"/>
  <c r="Q62" i="80" s="1"/>
  <c r="C83" i="80"/>
  <c r="C82" i="80" s="1"/>
  <c r="B2" i="80"/>
  <c r="C46" i="80"/>
  <c r="C43" i="80"/>
  <c r="Q65" i="80"/>
  <c r="Q75" i="80" s="1"/>
  <c r="C68" i="15"/>
  <c r="C71" i="15" s="1"/>
  <c r="C83" i="15"/>
  <c r="C82" i="15" s="1"/>
  <c r="Q65" i="15"/>
  <c r="Q75" i="15" s="1"/>
  <c r="Q47" i="15"/>
  <c r="Q53" i="15" s="1"/>
  <c r="Q56" i="15"/>
  <c r="Q62" i="15" s="1"/>
  <c r="B2" i="15"/>
  <c r="C43" i="67"/>
  <c r="C45" i="67"/>
  <c r="C46" i="67" s="1"/>
  <c r="Q65" i="67"/>
  <c r="Q75" i="67" s="1"/>
  <c r="Q56" i="67"/>
  <c r="Q62" i="67" s="1"/>
  <c r="Q47" i="67"/>
  <c r="Q53" i="67" s="1"/>
  <c r="D2" i="67"/>
  <c r="B2" i="67" s="1"/>
  <c r="AO7" i="1"/>
  <c r="E2" i="69"/>
  <c r="AO8" i="1"/>
  <c r="AO11" i="1"/>
  <c r="AO6" i="1"/>
  <c r="AO10" i="1"/>
  <c r="B11" i="70" l="1"/>
  <c r="B3" i="80"/>
  <c r="G6" i="12" s="1"/>
  <c r="B10" i="70"/>
  <c r="G8" i="12"/>
  <c r="B3" i="15"/>
  <c r="E6" i="12" s="1"/>
  <c r="E8" i="12"/>
  <c r="B8" i="70"/>
  <c r="B7" i="70"/>
  <c r="B6" i="70"/>
  <c r="C46" i="15"/>
  <c r="B2" i="69"/>
  <c r="B3" i="69" s="1"/>
  <c r="B3" i="67"/>
  <c r="D2" i="36"/>
  <c r="D2" i="35"/>
  <c r="D2" i="21"/>
  <c r="D2" i="33"/>
  <c r="F20" i="31"/>
  <c r="E2" i="68"/>
  <c r="D2" i="37"/>
  <c r="D2" i="34"/>
  <c r="B20" i="31" l="1"/>
  <c r="B2" i="36"/>
  <c r="B3" i="36" s="1"/>
  <c r="B2" i="35"/>
  <c r="B3" i="35" s="1"/>
  <c r="B2" i="37"/>
  <c r="B3" i="37" s="1"/>
  <c r="B2" i="34"/>
  <c r="B3" i="34" s="1"/>
  <c r="B2" i="21"/>
  <c r="B2" i="70"/>
  <c r="B3" i="70" s="1"/>
  <c r="B3" i="21" l="1"/>
  <c r="C6" i="12" s="1"/>
  <c r="C8" i="12"/>
  <c r="C4" i="12" s="1"/>
  <c r="C23" i="12" l="1"/>
  <c r="C31" i="12"/>
  <c r="C30" i="12" l="1"/>
  <c r="C28" i="12" s="1"/>
  <c r="C27" i="12"/>
  <c r="C25" i="12" s="1"/>
  <c r="C32" i="12" l="1"/>
  <c r="B2" i="12" s="1"/>
  <c r="B3" i="12" s="1"/>
  <c r="D20" i="9"/>
  <c r="D19" i="9"/>
  <c r="D21" i="9" l="1"/>
  <c r="D102" i="9"/>
  <c r="D103"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l="1"/>
  <c r="C5" i="68" s="1"/>
  <c r="C23" i="68" l="1"/>
  <c r="C20" i="68"/>
  <c r="H112" i="9"/>
  <c r="D21" i="53" s="1"/>
  <c r="B39" i="72" s="1"/>
  <c r="H111" i="9"/>
  <c r="D126" i="9" s="1"/>
  <c r="D59" i="9"/>
  <c r="M55" i="9" s="1"/>
  <c r="D19" i="53" l="1"/>
  <c r="C28" i="68"/>
  <c r="C27" i="68" s="1"/>
  <c r="C25" i="68"/>
  <c r="C22" i="68" s="1"/>
  <c r="B38" i="72"/>
  <c r="D20" i="53"/>
  <c r="B40" i="72" s="1"/>
  <c r="I14" i="74"/>
  <c r="B8" i="74" s="1"/>
  <c r="D127" i="9"/>
  <c r="D13" i="52" s="1"/>
  <c r="D12" i="52"/>
  <c r="C31" i="68" l="1"/>
  <c r="C52" i="68" s="1"/>
  <c r="C57" i="68" s="1"/>
  <c r="C56" i="68" s="1"/>
  <c r="D8" i="74"/>
  <c r="C8" i="74"/>
  <c r="B2" i="68" l="1"/>
  <c r="C19" i="9"/>
  <c r="C21" i="9" l="1"/>
  <c r="G19" i="9"/>
  <c r="G21" i="9" s="1"/>
  <c r="C102" i="9"/>
  <c r="D22" i="9"/>
  <c r="B3" i="68"/>
  <c r="D35" i="9"/>
  <c r="C20" i="9"/>
  <c r="D34" i="9"/>
  <c r="C103" i="9" l="1"/>
  <c r="G20" i="9"/>
  <c r="C32" i="9" s="1"/>
  <c r="C35" i="9" s="1"/>
  <c r="C34" i="9" l="1"/>
  <c r="F118" i="9" l="1"/>
  <c r="G118" i="9" s="1"/>
  <c r="G4" i="52" s="1"/>
  <c r="B52" i="72" s="1"/>
  <c r="F4" i="52" l="1"/>
  <c r="B51" i="72" s="1"/>
  <c r="F119" i="9"/>
  <c r="F5" i="52" s="1"/>
  <c r="B53" i="72" s="1"/>
  <c r="D118" i="9"/>
  <c r="D119" i="9" l="1"/>
  <c r="D5" i="52" s="1"/>
  <c r="B49" i="72" s="1"/>
  <c r="D4" i="52"/>
  <c r="B47" i="72" s="1"/>
  <c r="H118" i="9"/>
  <c r="H101" i="9" s="1"/>
  <c r="H109" i="9" s="1"/>
  <c r="D16" i="53" l="1"/>
  <c r="H110" i="9"/>
  <c r="D18" i="53" s="1"/>
  <c r="B35" i="72" s="1"/>
  <c r="D124" i="9"/>
  <c r="H4" i="52"/>
  <c r="I118" i="9"/>
  <c r="H102" i="9" s="1"/>
  <c r="D7" i="53" s="1"/>
  <c r="B21" i="72" s="1"/>
  <c r="C104" i="9"/>
  <c r="H119" i="9"/>
  <c r="H5" i="52" s="1"/>
  <c r="D14" i="74"/>
  <c r="H107" i="9"/>
  <c r="D45" i="9"/>
  <c r="M48" i="9"/>
  <c r="D5" i="53"/>
  <c r="D10" i="52" l="1"/>
  <c r="H14" i="74"/>
  <c r="B7" i="74" s="1"/>
  <c r="D125" i="9"/>
  <c r="D11" i="52" s="1"/>
  <c r="B34" i="72"/>
  <c r="D17" i="53"/>
  <c r="B36" i="72" s="1"/>
  <c r="E118" i="9"/>
  <c r="E4" i="52" s="1"/>
  <c r="B48" i="72" s="1"/>
  <c r="C105" i="9"/>
  <c r="I4" i="52"/>
  <c r="B5" i="74"/>
  <c r="F14" i="74"/>
  <c r="E14" i="74"/>
  <c r="D6" i="53"/>
  <c r="B22" i="72" s="1"/>
  <c r="B20" i="72"/>
  <c r="C93" i="9"/>
  <c r="C86" i="9" s="1"/>
  <c r="C72" i="9"/>
  <c r="D52" i="9"/>
  <c r="D55" i="9"/>
  <c r="M53" i="9" s="1"/>
  <c r="C85" i="9"/>
  <c r="C78" i="9"/>
  <c r="C73" i="9" s="1"/>
  <c r="C64" i="9"/>
  <c r="C63" i="9" s="1"/>
  <c r="C67" i="9" s="1"/>
  <c r="C68" i="9" s="1"/>
  <c r="D54" i="9" s="1"/>
  <c r="D53" i="9"/>
  <c r="D122" i="9"/>
  <c r="H108" i="9"/>
  <c r="D15" i="53" s="1"/>
  <c r="B31" i="72" s="1"/>
  <c r="M49" i="9"/>
  <c r="D13" i="53"/>
  <c r="D7" i="74" l="1"/>
  <c r="C7" i="74"/>
  <c r="C95" i="9"/>
  <c r="C96" i="9" s="1"/>
  <c r="E96" i="9" s="1"/>
  <c r="E97" i="9" s="1"/>
  <c r="D5" i="74"/>
  <c r="C5" i="74"/>
  <c r="D14" i="53"/>
  <c r="B32" i="72" s="1"/>
  <c r="B30" i="72"/>
  <c r="C79" i="9"/>
  <c r="L63" i="9"/>
  <c r="M63" i="9" s="1"/>
  <c r="L64" i="9"/>
  <c r="M64" i="9" s="1"/>
  <c r="L65" i="9"/>
  <c r="M65" i="9" s="1"/>
  <c r="L66" i="9"/>
  <c r="M66" i="9" s="1"/>
  <c r="L67" i="9"/>
  <c r="M67" i="9" s="1"/>
  <c r="L68" i="9"/>
  <c r="M68" i="9" s="1"/>
  <c r="D123" i="9"/>
  <c r="D9" i="52" s="1"/>
  <c r="G14" i="74"/>
  <c r="B6" i="74" s="1"/>
  <c r="D8" i="52"/>
  <c r="C97" i="9" l="1"/>
  <c r="D58" i="9" s="1"/>
  <c r="D56" i="9" s="1"/>
  <c r="M54" i="9" s="1"/>
  <c r="N57" i="9" s="1"/>
  <c r="P57" i="9" s="1"/>
  <c r="M69" i="9"/>
  <c r="N69" i="9" s="1"/>
  <c r="C80" i="9"/>
  <c r="E80" i="9" s="1"/>
  <c r="E81" i="9" s="1"/>
  <c r="C6" i="74"/>
  <c r="D6" i="74"/>
  <c r="C81" i="9" l="1"/>
  <c r="N58" i="9"/>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<sst xmlns="http://schemas.openxmlformats.org/spreadsheetml/2006/main" count="8699" uniqueCount="3197">
  <si>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</si>
  <si>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</si>
  <si>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</si>
  <si>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</si>
  <si>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</si>
  <si>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</si>
  <si>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</si>
  <si>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</si>
  <si>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</si>
  <si>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</si>
  <si>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</si>
  <si>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</si>
  <si>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</si>
  <si>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</si>
  <si>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</si>
  <si>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</si>
  <si>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</si>
  <si>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</si>
  <si>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</si>
  <si>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</si>
  <si>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</si>
  <si>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</si>
  <si>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</si>
  <si>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</si>
  <si>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</si>
  <si>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</si>
  <si>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</si>
  <si>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</si>
  <si>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</si>
  <si>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</si>
  <si>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</si>
  <si>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</si>
  <si>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</si>
  <si>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</si>
  <si>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</si>
  <si>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</si>
  <si>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</si>
  <si>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</si>
  <si>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</si>
  <si>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</si>
  <si>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</si>
  <si>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</si>
  <si>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</si>
  <si>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</si>
  <si>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</si>
  <si>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</si>
  <si>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</si>
  <si>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</si>
  <si>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</si>
  <si>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</si>
  <si>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</si>
  <si>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</si>
  <si>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</si>
  <si>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</si>
  <si>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</si>
  <si>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</si>
  <si>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</si>
  <si>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</si>
  <si>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</si>
  <si>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</si>
  <si>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</si>
  <si>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</si>
  <si>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</si>
  <si>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</si>
  <si>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</si>
  <si>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</si>
  <si>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</si>
  <si>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</si>
  <si>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</si>
  <si>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</si>
  <si>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</si>
  <si>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</si>
  <si>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</si>
  <si>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</si>
  <si>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</si>
  <si>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</si>
  <si>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</si>
  <si>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</si>
  <si>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</si>
  <si>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</si>
  <si>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</si>
  <si>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</si>
  <si>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</si>
  <si>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</si>
  <si>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</si>
  <si>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</si>
  <si>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</si>
  <si>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</si>
  <si>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</si>
  <si>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</si>
  <si>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</si>
  <si>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</si>
  <si>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</si>
  <si>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</si>
  <si>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</si>
  <si>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</si>
  <si>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</si>
  <si>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</si>
  <si>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</si>
  <si>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</si>
  <si>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</si>
  <si>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</si>
  <si>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</si>
  <si>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</si>
  <si>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</si>
  <si>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</si>
  <si>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</si>
  <si>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</si>
  <si>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</si>
  <si>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</si>
  <si>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</si>
  <si>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</si>
  <si>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</si>
  <si>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</si>
  <si>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</si>
  <si>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</si>
  <si>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</si>
  <si>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</si>
  <si>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</si>
  <si>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</si>
  <si>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</si>
  <si>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</si>
  <si>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</si>
  <si>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</si>
  <si>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</si>
  <si>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</si>
  <si>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</si>
  <si>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</si>
  <si>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</si>
  <si>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</si>
  <si>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</si>
  <si>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</si>
  <si>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</si>
  <si>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</si>
  <si>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</si>
  <si>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</si>
  <si>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</si>
  <si>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</si>
  <si>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</si>
  <si>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</si>
  <si>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</si>
  <si>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</si>
  <si>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</si>
  <si>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</si>
  <si>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</si>
  <si>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</si>
  <si>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</si>
  <si>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</si>
  <si>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</si>
  <si>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</si>
  <si>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</si>
  <si>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</si>
  <si>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</si>
  <si>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</si>
  <si>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</si>
  <si>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</si>
  <si>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</si>
  <si>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</si>
  <si>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</si>
  <si>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</si>
  <si>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</si>
  <si>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</si>
  <si>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</si>
  <si>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</si>
  <si>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</si>
  <si>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</si>
  <si>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</si>
  <si>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</si>
  <si>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</si>
  <si>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</si>
  <si>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</si>
  <si>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</si>
  <si>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</si>
  <si>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</si>
  <si>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</si>
  <si>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</si>
  <si>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</si>
  <si>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</si>
  <si>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</si>
  <si>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</si>
  <si>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</si>
  <si>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</si>
  <si>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</si>
  <si>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</si>
  <si>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</si>
  <si>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</si>
  <si>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</si>
  <si>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</si>
  <si>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</si>
  <si>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</si>
  <si>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</si>
  <si>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</si>
  <si>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</si>
  <si>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</si>
  <si>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</si>
  <si>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</si>
  <si>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</si>
  <si>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</si>
  <si>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</si>
  <si>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</si>
  <si>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</si>
  <si>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</si>
  <si>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</si>
  <si>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</si>
  <si>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</si>
  <si>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</si>
  <si>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</si>
  <si>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</si>
  <si>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</si>
  <si>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</si>
  <si>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</si>
  <si>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</si>
  <si>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</si>
  <si>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</si>
  <si>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</si>
  <si>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</si>
  <si>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</si>
  <si>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</si>
  <si>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</si>
  <si>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</si>
  <si>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</si>
  <si>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</si>
  <si>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</si>
  <si>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</si>
  <si>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</si>
  <si>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</si>
  <si>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</si>
  <si>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</si>
  <si>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</si>
  <si>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</si>
  <si>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</si>
  <si>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</si>
  <si>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</si>
  <si>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</si>
  <si>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</si>
  <si>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</si>
  <si>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</si>
  <si>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</si>
  <si>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</si>
  <si>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</si>
  <si>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</si>
  <si>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</si>
  <si>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</si>
  <si>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</si>
  <si>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</si>
  <si>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</si>
  <si>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</si>
  <si>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</si>
  <si>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</si>
  <si>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</si>
  <si>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</si>
  <si>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</si>
  <si>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</si>
  <si>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</si>
  <si>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</si>
  <si>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</si>
  <si>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</si>
  <si>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</si>
  <si>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</si>
  <si>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</si>
  <si>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</si>
  <si>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</si>
  <si>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</si>
  <si>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</si>
  <si>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</si>
  <si>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</si>
  <si>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</si>
  <si>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</si>
  <si>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</si>
  <si>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</si>
  <si>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</si>
  <si>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</si>
  <si>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</si>
  <si>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</si>
  <si>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</si>
  <si>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</si>
  <si>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</si>
  <si>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</si>
  <si>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</si>
  <si>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</si>
  <si>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</si>
  <si>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</si>
  <si>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</si>
  <si>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</si>
  <si>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</si>
  <si>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</si>
  <si>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</si>
  <si>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</si>
  <si>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</si>
  <si>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</si>
  <si>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</si>
  <si>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</si>
  <si>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</si>
  <si>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</si>
  <si>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</si>
  <si>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</si>
  <si>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</si>
  <si>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</si>
  <si>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</si>
  <si>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</si>
  <si>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</si>
  <si>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</si>
  <si>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</si>
  <si>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</si>
  <si>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</si>
  <si>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</si>
  <si>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</si>
  <si>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</si>
  <si>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</si>
  <si>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</si>
  <si>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</si>
  <si>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</si>
  <si>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</si>
  <si>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</si>
  <si>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</si>
  <si>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</si>
  <si>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</si>
  <si>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</si>
  <si>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</si>
  <si>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</si>
  <si>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</si>
  <si>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</si>
  <si>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</si>
  <si>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</si>
  <si>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</si>
  <si>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</si>
  <si>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</si>
  <si>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</si>
  <si>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</si>
  <si>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</si>
  <si>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</si>
  <si>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</si>
  <si>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</si>
  <si>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</si>
  <si>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</si>
  <si>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</si>
  <si>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</si>
  <si>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</si>
  <si>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</si>
  <si>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</si>
  <si>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</si>
  <si>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</si>
  <si>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</si>
  <si>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</si>
  <si>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</si>
  <si>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</si>
  <si>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</si>
  <si>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</si>
  <si>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</si>
  <si>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</si>
  <si>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</si>
  <si>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</si>
  <si>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</si>
  <si>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</si>
  <si>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</si>
  <si>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</si>
  <si>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</si>
  <si>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</si>
  <si>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</si>
  <si>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</si>
  <si>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</si>
  <si>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</si>
  <si>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</si>
  <si>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</si>
  <si>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</si>
  <si>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</si>
  <si>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</si>
  <si>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</si>
  <si>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</si>
  <si>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</si>
  <si>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</si>
  <si>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</si>
  <si>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</si>
  <si>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</si>
  <si>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</si>
  <si>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</si>
  <si>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</si>
  <si>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</si>
  <si>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</si>
  <si>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</si>
  <si>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</si>
  <si>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</si>
  <si>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</si>
  <si>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</si>
  <si>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</si>
  <si>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</si>
  <si>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</si>
  <si>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</si>
  <si>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</si>
  <si>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</si>
  <si>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</si>
  <si>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</si>
  <si>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</si>
  <si>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</si>
  <si>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</si>
  <si>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</si>
  <si>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</si>
  <si>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</si>
  <si>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</si>
  <si>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</si>
  <si>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</si>
  <si>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</si>
  <si>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</si>
  <si>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</si>
  <si>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</si>
  <si>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</si>
  <si>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</si>
  <si>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</si>
  <si>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</si>
  <si>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</si>
  <si>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</si>
  <si>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</si>
  <si>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</si>
  <si>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</si>
  <si>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</si>
  <si>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</si>
  <si>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</si>
  <si>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</si>
  <si>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</si>
  <si>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</si>
  <si>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</si>
  <si>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</si>
  <si>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</si>
  <si>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</si>
  <si>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</si>
  <si>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</si>
  <si>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</si>
  <si>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</si>
  <si>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</si>
  <si>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</si>
  <si>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</si>
  <si>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</si>
  <si>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</si>
  <si>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</si>
  <si>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</si>
  <si>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</si>
  <si>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</si>
  <si>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</si>
  <si>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</si>
  <si>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</si>
  <si>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</si>
  <si>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</si>
  <si>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</si>
  <si>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</si>
  <si>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</si>
  <si>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</si>
  <si>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</si>
  <si>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</si>
  <si>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</si>
  <si>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</si>
  <si>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</si>
  <si>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</si>
  <si>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</si>
  <si>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</si>
  <si>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</si>
  <si>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</si>
  <si>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</si>
  <si>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</si>
  <si>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</si>
  <si>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</si>
  <si>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</si>
  <si>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</si>
  <si>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</si>
  <si>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</si>
  <si>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</si>
  <si>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</si>
  <si>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</si>
  <si>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</si>
  <si>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</si>
  <si>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</si>
  <si>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</si>
  <si>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</si>
  <si>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</si>
  <si>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</si>
  <si>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</si>
  <si>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</si>
  <si>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</si>
  <si>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</si>
  <si>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</si>
  <si>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</si>
  <si>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</si>
  <si>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</si>
  <si>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</si>
  <si>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</si>
  <si>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</si>
  <si>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</si>
  <si>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</si>
  <si>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</si>
  <si>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</si>
  <si>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</si>
  <si>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</si>
  <si>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</si>
  <si>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</si>
  <si>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</si>
  <si>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</si>
  <si>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</si>
  <si>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</si>
  <si>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</si>
  <si>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</si>
  <si>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</si>
  <si>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</si>
  <si>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</si>
  <si>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</si>
  <si>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</si>
  <si>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</si>
  <si>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</si>
  <si>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</si>
  <si>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</si>
  <si>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</si>
  <si>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</si>
  <si>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</si>
  <si>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</si>
  <si>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</si>
  <si>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</si>
  <si>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</si>
  <si>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</si>
  <si>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</si>
  <si>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</si>
  <si>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</si>
  <si>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</si>
  <si>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</si>
  <si>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</si>
  <si>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</si>
  <si>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</si>
  <si>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</si>
  <si>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</si>
  <si>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</si>
  <si>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</si>
  <si>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</si>
  <si>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</si>
  <si>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</si>
  <si>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</si>
  <si>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</si>
  <si>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</si>
  <si>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</si>
  <si>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</si>
  <si>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</si>
  <si>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</si>
  <si>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</si>
  <si>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</si>
  <si>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</si>
  <si>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</si>
  <si>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</si>
  <si>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</si>
  <si>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</si>
  <si>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</si>
  <si>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</si>
  <si>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</si>
  <si>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</si>
  <si>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</si>
  <si>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</si>
  <si>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</si>
  <si>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</si>
  <si>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</si>
  <si>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</si>
  <si>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</si>
  <si>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</si>
  <si>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</si>
  <si>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</si>
  <si>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</si>
  <si>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</si>
  <si>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</si>
  <si>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</si>
  <si>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</si>
  <si>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</si>
  <si>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</si>
  <si>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</si>
  <si>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</si>
  <si>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</si>
  <si>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</si>
  <si>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</si>
  <si>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</si>
  <si>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</si>
  <si>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</si>
  <si>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</si>
  <si>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</si>
  <si>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</si>
  <si>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</si>
  <si>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</si>
  <si>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</si>
  <si>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</si>
  <si>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</si>
  <si>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</si>
  <si>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</si>
  <si>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</si>
  <si>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</si>
  <si>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</si>
  <si>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</si>
  <si>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</si>
  <si>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</si>
  <si>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</si>
  <si>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</si>
  <si>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</si>
  <si>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</si>
  <si>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</si>
  <si>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</si>
  <si>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</si>
  <si>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</si>
  <si>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</si>
  <si>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</si>
  <si>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</si>
  <si>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</si>
  <si>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</si>
  <si>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</si>
  <si>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</si>
  <si>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</si>
  <si>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</si>
  <si>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</si>
  <si>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</si>
  <si>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</si>
  <si>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</si>
  <si>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</si>
  <si>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</si>
  <si>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</si>
  <si>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</si>
  <si>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</si>
  <si>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</si>
  <si>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</si>
  <si>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</si>
  <si>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</si>
  <si>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</si>
  <si>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</si>
  <si>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</si>
  <si>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</si>
  <si>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</si>
  <si>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</si>
  <si>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</si>
  <si>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</si>
  <si>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</si>
  <si>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</si>
  <si>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</si>
  <si>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</si>
  <si>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</si>
  <si>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</si>
  <si>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</si>
  <si>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</si>
  <si>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</si>
  <si>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</si>
  <si>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</si>
  <si>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</si>
  <si>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</si>
  <si>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</si>
  <si>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</si>
  <si>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</si>
  <si>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</si>
  <si>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</si>
  <si>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</si>
  <si>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</si>
  <si>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</si>
  <si>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</si>
  <si>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</si>
  <si>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</si>
  <si>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</si>
  <si>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</si>
  <si>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</si>
  <si>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</si>
  <si>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</si>
  <si>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</si>
  <si>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</si>
  <si>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</si>
  <si>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</si>
  <si>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</si>
  <si>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</si>
  <si>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</si>
  <si>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</si>
  <si>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</si>
  <si>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</si>
  <si>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</si>
  <si>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</si>
  <si>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</si>
  <si>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</si>
  <si>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</si>
  <si>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</si>
  <si>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</si>
  <si>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</si>
  <si>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</si>
  <si>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</si>
  <si>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</si>
  <si>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</si>
  <si>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</si>
  <si>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</si>
  <si>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</si>
  <si>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</si>
  <si>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</si>
  <si>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</si>
  <si>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</si>
  <si>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</si>
  <si>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</si>
  <si>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</si>
  <si>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</si>
  <si>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</si>
  <si>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</si>
  <si>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</si>
  <si>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</si>
  <si>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</si>
  <si>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</si>
  <si>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</si>
  <si>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</si>
  <si>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</si>
  <si>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</si>
  <si>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</si>
  <si>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</si>
  <si>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</si>
  <si>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</si>
  <si>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</si>
  <si>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</si>
  <si>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</si>
  <si>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</si>
  <si>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</si>
  <si>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</si>
  <si>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</si>
  <si>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</si>
  <si>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</si>
  <si>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</si>
  <si>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</si>
  <si>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</si>
  <si>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</si>
  <si>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</si>
  <si>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</si>
  <si>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</si>
  <si>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</si>
  <si>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</si>
  <si>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</si>
  <si>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</si>
  <si>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</si>
  <si>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</si>
  <si>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</si>
  <si>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</si>
  <si>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</si>
  <si>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</si>
  <si>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</si>
  <si>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</si>
  <si>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</si>
  <si>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</si>
  <si>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</si>
  <si>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</si>
  <si>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</si>
  <si>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</si>
  <si>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</si>
  <si>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</si>
  <si>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</si>
  <si>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</si>
  <si>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</si>
  <si>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</si>
  <si>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</si>
  <si>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</si>
  <si>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</si>
  <si>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</si>
  <si>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</si>
  <si>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</si>
  <si>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</si>
  <si>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</si>
  <si>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</si>
  <si>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</si>
  <si>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</si>
  <si>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</si>
  <si>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</si>
  <si>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</si>
  <si>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</si>
  <si>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</si>
  <si>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</si>
  <si>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</si>
  <si>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</si>
  <si>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</si>
  <si>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</si>
  <si>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</si>
  <si>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</si>
  <si>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</si>
  <si>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</si>
  <si>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</si>
  <si>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</si>
  <si>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</si>
  <si>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</si>
  <si>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</si>
  <si>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</si>
  <si>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</si>
  <si>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</si>
  <si>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</si>
  <si>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</si>
  <si>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</si>
  <si>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</si>
  <si>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</si>
  <si>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</si>
  <si>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</si>
  <si>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</si>
  <si>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</si>
  <si>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</si>
  <si>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</si>
  <si>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</si>
  <si>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</si>
  <si>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</si>
  <si>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</si>
  <si>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</si>
  <si>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</si>
  <si>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</si>
  <si>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</si>
  <si>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</si>
  <si>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</si>
  <si>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</si>
  <si>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</si>
  <si>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</si>
  <si>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</si>
  <si>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</si>
  <si>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</si>
  <si>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</si>
  <si>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</si>
  <si>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</si>
  <si>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</si>
  <si>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</si>
  <si>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</si>
  <si>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</si>
  <si>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</si>
  <si>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</si>
  <si>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</si>
  <si>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</si>
  <si>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</si>
  <si>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</si>
  <si>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</si>
  <si>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</si>
  <si>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</si>
  <si>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</si>
  <si>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</si>
  <si>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</si>
  <si>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</si>
  <si>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</si>
  <si>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</si>
  <si>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</si>
  <si>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</si>
  <si>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</si>
  <si>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</si>
  <si>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</si>
  <si>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</si>
  <si>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</si>
  <si>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</si>
  <si>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</si>
  <si>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</si>
  <si>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</si>
  <si>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</si>
  <si>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</si>
  <si>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</si>
  <si>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</si>
  <si>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</si>
  <si>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</si>
  <si>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</si>
  <si>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</si>
  <si>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</si>
  <si>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</si>
  <si>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</si>
  <si>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</si>
  <si>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</si>
  <si>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</si>
  <si>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</si>
  <si>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</si>
  <si>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</si>
  <si>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</si>
  <si>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</si>
  <si>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</si>
  <si>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</si>
  <si>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</si>
  <si>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</si>
  <si>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</si>
  <si>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</si>
  <si>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</si>
  <si>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</si>
  <si>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</si>
  <si>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</si>
  <si>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</si>
  <si>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</si>
  <si>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</si>
  <si>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</si>
  <si>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</si>
  <si>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</si>
  <si>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</si>
  <si>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</si>
  <si>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</si>
  <si>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</si>
  <si>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</si>
  <si>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</si>
  <si>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</si>
  <si>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</si>
  <si>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</si>
  <si>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</si>
  <si>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</si>
  <si>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</si>
  <si>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</si>
  <si>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</si>
  <si>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</si>
  <si>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</si>
  <si>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</si>
  <si>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</si>
  <si>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</si>
  <si>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</si>
  <si>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</si>
  <si>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</si>
  <si>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</si>
  <si>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</si>
  <si>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</si>
  <si>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</si>
  <si>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</si>
  <si>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</si>
  <si>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</si>
  <si>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</si>
  <si>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</si>
  <si>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</si>
  <si>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</si>
  <si>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</si>
  <si>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</si>
  <si>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</si>
  <si>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</si>
  <si>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</si>
  <si>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</si>
  <si>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</si>
  <si>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</si>
  <si>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</si>
  <si>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</si>
  <si>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</si>
  <si>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</si>
  <si>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</si>
  <si>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</si>
  <si>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</si>
  <si>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</si>
  <si>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</si>
  <si>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</si>
  <si>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</si>
  <si>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</si>
  <si>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</si>
  <si>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</si>
  <si>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</si>
  <si>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</si>
  <si>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</si>
  <si>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</si>
  <si>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</si>
  <si>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</si>
  <si>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</si>
  <si>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</si>
  <si>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</si>
  <si>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</si>
  <si>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</si>
  <si>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</si>
  <si>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</si>
  <si>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</si>
  <si>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</si>
  <si>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</si>
  <si>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</si>
  <si>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</si>
  <si>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</si>
  <si>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</si>
  <si>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</si>
  <si>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</si>
  <si>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</si>
  <si>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</si>
  <si>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</si>
  <si>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</si>
  <si>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</si>
  <si>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</si>
  <si>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</si>
  <si>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</si>
  <si>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</si>
  <si>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</si>
  <si>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</si>
  <si>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</si>
  <si>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</si>
  <si>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</si>
  <si>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</si>
  <si>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</si>
  <si>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</si>
  <si>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</si>
  <si>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</si>
  <si>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</si>
  <si>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</si>
  <si>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</si>
  <si>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</si>
  <si>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</si>
  <si>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</si>
  <si>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</si>
  <si>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</si>
  <si>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</si>
  <si>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</si>
  <si>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</si>
  <si>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</si>
  <si>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</si>
  <si>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</si>
  <si>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</si>
  <si>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</si>
  <si>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</si>
  <si>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</si>
  <si>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</si>
  <si>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</si>
  <si>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</si>
  <si>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</si>
  <si>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</si>
  <si>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</si>
  <si>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</si>
  <si>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</si>
  <si>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</si>
  <si>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</si>
  <si>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</si>
  <si>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</si>
  <si>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</si>
  <si>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</si>
  <si>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</si>
  <si>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</si>
  <si>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</si>
  <si>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</si>
  <si>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</si>
  <si>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</si>
  <si>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</si>
  <si>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</si>
  <si>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</si>
  <si>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</si>
  <si>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</si>
  <si>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</si>
  <si>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</si>
  <si>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</si>
  <si>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</si>
  <si>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</si>
  <si>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</si>
  <si>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</si>
  <si>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</si>
  <si>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</si>
  <si>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</si>
  <si>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</si>
  <si>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</si>
  <si>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</si>
  <si>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</si>
  <si>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</si>
  <si>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</si>
  <si>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</si>
  <si>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</si>
  <si>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</si>
  <si>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</si>
  <si>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</si>
  <si>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</si>
  <si>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</si>
  <si>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</si>
  <si>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</si>
  <si>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</si>
  <si>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</si>
  <si>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</si>
  <si>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</si>
  <si>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</si>
  <si>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</si>
  <si>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</si>
  <si>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</si>
  <si>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</si>
  <si>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</si>
  <si>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</si>
  <si>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</si>
  <si>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</si>
  <si>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</si>
  <si>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</si>
  <si>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</si>
  <si>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</si>
  <si>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</si>
  <si>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</si>
  <si>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</si>
  <si>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</si>
  <si>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</si>
  <si>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</si>
  <si>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</si>
  <si>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</si>
  <si>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</si>
  <si>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</si>
  <si>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</si>
  <si>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</si>
  <si>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</si>
  <si>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</si>
  <si>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</si>
  <si>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</si>
  <si>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</si>
  <si>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</si>
  <si>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</si>
  <si>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</si>
  <si>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</si>
  <si>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</si>
  <si>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</si>
  <si>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</si>
  <si>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</si>
  <si>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</si>
  <si>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</si>
  <si>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</si>
  <si>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</si>
  <si>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</si>
  <si>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</si>
  <si>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</si>
  <si>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</si>
  <si>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</si>
  <si>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</si>
  <si>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</si>
  <si>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</si>
  <si>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</si>
  <si>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</si>
  <si>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</si>
  <si>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</si>
  <si>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</si>
  <si>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</si>
  <si>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</si>
  <si>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</si>
  <si>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</si>
  <si>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</si>
  <si>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</si>
  <si>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</si>
  <si>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</si>
  <si>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</si>
  <si>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</si>
  <si>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</si>
  <si>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</si>
  <si>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</si>
  <si>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</si>
  <si>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</si>
  <si>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</si>
  <si>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</si>
  <si>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</si>
  <si>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</si>
  <si>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</si>
  <si>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</si>
  <si>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</si>
  <si>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</si>
  <si>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</si>
  <si>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</si>
  <si>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</si>
  <si>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</si>
  <si>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</si>
  <si>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</si>
  <si>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</si>
  <si>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</si>
  <si>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</si>
  <si>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</si>
  <si>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</si>
  <si>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</si>
  <si>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</si>
  <si>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</si>
  <si>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</si>
  <si>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</si>
  <si>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</si>
  <si>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</si>
  <si>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</si>
  <si>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</si>
  <si>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</si>
  <si>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</si>
  <si>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</si>
  <si>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</si>
  <si>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</si>
  <si>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</si>
  <si>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</si>
  <si>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</si>
  <si>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</si>
  <si>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</si>
  <si>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</si>
  <si>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</si>
  <si>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</si>
  <si>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</si>
  <si>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</si>
  <si>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</si>
  <si>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</si>
  <si>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</si>
  <si>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</si>
  <si>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</si>
  <si>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</si>
  <si>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</si>
  <si>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</si>
  <si>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</si>
  <si>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</si>
  <si>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</si>
  <si>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</si>
  <si>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</si>
  <si>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</si>
  <si>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</si>
  <si>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</si>
  <si>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</si>
  <si>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</si>
  <si>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</si>
  <si>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</si>
  <si>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</si>
  <si>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</si>
  <si>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</si>
  <si>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</si>
  <si>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</si>
  <si>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</si>
  <si>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</si>
  <si>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</si>
  <si>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</si>
  <si>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</si>
  <si>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</si>
  <si>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</si>
  <si>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</si>
  <si>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</si>
  <si>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</si>
  <si>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</si>
  <si>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</si>
  <si>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</si>
  <si>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</si>
  <si>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</si>
  <si>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</si>
  <si>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</si>
  <si>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</si>
  <si>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</si>
  <si>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</si>
  <si>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</si>
  <si>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</si>
  <si>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</si>
  <si>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</si>
  <si>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</si>
  <si>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</si>
  <si>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</si>
  <si>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</si>
  <si>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</si>
  <si>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</si>
  <si>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</si>
  <si>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</si>
  <si>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</si>
  <si>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</si>
  <si>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</si>
  <si>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</si>
  <si>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</si>
  <si>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</si>
  <si>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</si>
  <si>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</si>
  <si>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</si>
  <si>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</si>
  <si>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</si>
  <si>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</si>
  <si>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</si>
  <si>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</si>
  <si>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</si>
  <si>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</si>
  <si>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</si>
  <si>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</si>
  <si>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</si>
  <si>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</si>
  <si>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</si>
  <si>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</si>
  <si>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</si>
  <si>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</si>
  <si>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</si>
  <si>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</si>
  <si>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</si>
  <si>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</si>
  <si>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</si>
  <si>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</si>
  <si>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</si>
  <si>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</si>
  <si>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</si>
  <si>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</si>
  <si>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</si>
  <si>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</si>
  <si>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</si>
  <si>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</si>
  <si>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</si>
  <si>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</si>
  <si>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</si>
  <si>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</si>
  <si>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</si>
  <si>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</si>
  <si>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</si>
  <si>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</si>
  <si>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</si>
  <si>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</si>
  <si>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</si>
  <si>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</si>
  <si>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</si>
  <si>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</si>
  <si>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</si>
  <si>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</si>
  <si>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</si>
  <si>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</si>
  <si>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</si>
  <si>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</si>
  <si>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</si>
  <si>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</si>
  <si>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</si>
  <si>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</si>
  <si>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</si>
  <si>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</si>
  <si>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</si>
  <si>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</si>
  <si>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</si>
  <si>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</si>
  <si>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</si>
  <si>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</si>
  <si>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</si>
  <si>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</si>
  <si>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</si>
  <si>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</si>
  <si>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</si>
  <si>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</si>
  <si>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</si>
  <si>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</si>
  <si>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</si>
  <si>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</si>
  <si>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</si>
  <si>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</si>
  <si>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</si>
  <si>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</si>
  <si>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</si>
  <si>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</si>
  <si>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</si>
  <si>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</si>
  <si>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</si>
  <si>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</si>
  <si>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</si>
  <si>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</si>
  <si>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</si>
  <si>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</si>
  <si>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</si>
  <si>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</si>
  <si>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</si>
  <si>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</si>
  <si>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</si>
  <si>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</si>
  <si>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</si>
  <si>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</si>
  <si>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</si>
  <si>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</si>
  <si>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</si>
  <si>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</si>
  <si>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</si>
  <si>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</si>
  <si>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</si>
  <si>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</si>
  <si>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</si>
  <si>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</si>
  <si>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</si>
  <si>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</si>
  <si>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</si>
  <si>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</si>
  <si>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</si>
  <si>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</si>
  <si>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</si>
  <si>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</si>
  <si>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</si>
  <si>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</si>
  <si>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</si>
  <si>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</si>
  <si>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</si>
  <si>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</si>
  <si>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</si>
  <si>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</si>
  <si>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</si>
  <si>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</si>
  <si>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</si>
  <si>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</si>
  <si>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</si>
  <si>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</si>
  <si>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</si>
  <si>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</si>
  <si>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</si>
  <si>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</si>
  <si>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</si>
  <si>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</si>
  <si>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</si>
  <si>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</si>
  <si>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</si>
  <si>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</si>
  <si>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</si>
  <si>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</si>
  <si>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</si>
  <si>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</si>
  <si>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</si>
  <si>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</si>
  <si>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</si>
  <si>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</si>
  <si>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</si>
  <si>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</si>
  <si>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</si>
  <si>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</si>
  <si>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</si>
  <si>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</si>
  <si>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</si>
  <si>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</si>
  <si>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</si>
  <si>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</si>
  <si>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</si>
  <si>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</si>
  <si>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</si>
  <si>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</si>
  <si>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</si>
  <si>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</si>
  <si>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</si>
  <si>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</si>
  <si>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</si>
  <si>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</si>
  <si>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</si>
  <si>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</si>
  <si>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</si>
  <si>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</si>
  <si>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</si>
  <si>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</si>
  <si>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</si>
  <si>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</si>
  <si>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</si>
  <si>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</si>
  <si>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</si>
  <si>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</si>
  <si>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</si>
  <si>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</si>
  <si>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</si>
  <si>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</si>
  <si>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</si>
  <si>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</si>
  <si>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</si>
  <si>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</si>
  <si>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</si>
  <si>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</si>
  <si>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</si>
  <si>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</si>
  <si>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</si>
  <si>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</si>
  <si>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</si>
  <si>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</si>
  <si>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</si>
  <si>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</si>
  <si>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</si>
  <si>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</si>
  <si>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</si>
  <si>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</si>
  <si>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</si>
  <si>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</si>
  <si>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</si>
  <si>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</si>
  <si>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</si>
  <si>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</si>
  <si>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</si>
  <si>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</si>
  <si>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</si>
  <si>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</si>
  <si>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</si>
  <si>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</si>
  <si>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</si>
  <si>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</si>
  <si>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</si>
  <si>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</si>
  <si>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</si>
  <si>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</si>
  <si>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</si>
  <si>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</si>
  <si>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</si>
  <si>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</si>
  <si>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</si>
  <si>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</si>
  <si>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</si>
  <si>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</si>
  <si>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</si>
  <si>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</si>
  <si>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</si>
  <si>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</si>
  <si>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</si>
  <si>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</si>
  <si>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</si>
  <si>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</si>
  <si>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</si>
  <si>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</si>
  <si>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</si>
  <si>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</si>
  <si>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</si>
  <si>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</si>
  <si>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</si>
  <si>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</si>
  <si>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</si>
  <si>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</si>
  <si>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</si>
  <si>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</si>
  <si>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</si>
  <si>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</si>
  <si>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</si>
  <si>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</si>
  <si>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</si>
  <si>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</si>
  <si>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</si>
  <si>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</si>
  <si>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</si>
  <si>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</si>
  <si>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</si>
  <si>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</si>
  <si>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</si>
  <si>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</si>
  <si>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</si>
  <si>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</si>
  <si>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</si>
  <si>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</si>
  <si>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</si>
  <si>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</si>
  <si>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</si>
  <si>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</si>
  <si>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</si>
  <si>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</si>
  <si>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</si>
  <si>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</si>
  <si>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</si>
  <si>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</si>
  <si>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</si>
  <si>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</si>
  <si>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</si>
  <si>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</si>
  <si>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</si>
  <si>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</si>
  <si>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</si>
  <si>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</si>
  <si>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</si>
  <si>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</si>
  <si>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</si>
  <si>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</si>
  <si>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</si>
  <si>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</si>
  <si>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</si>
  <si>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</si>
  <si>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</si>
  <si>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</si>
  <si>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</si>
  <si>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</si>
  <si>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</si>
  <si>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</si>
  <si>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</si>
  <si>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</si>
  <si>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</si>
  <si>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</si>
  <si>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</si>
  <si>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</si>
  <si>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</si>
  <si>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</si>
  <si>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</si>
  <si>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</si>
  <si>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</si>
  <si>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</si>
  <si>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</si>
  <si>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</si>
  <si>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</si>
  <si>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</si>
  <si>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</si>
  <si>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</si>
  <si>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</si>
  <si>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</si>
  <si>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</si>
  <si>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</si>
  <si>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</si>
  <si>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</si>
  <si>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</si>
  <si>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</si>
  <si>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</si>
  <si>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</si>
  <si>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</si>
  <si>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</si>
  <si>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</si>
  <si>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</si>
  <si>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</si>
  <si>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</si>
  <si>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</si>
  <si>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</si>
  <si>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</si>
  <si>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</si>
  <si>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</si>
  <si>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</si>
  <si>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</si>
  <si>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</si>
  <si>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</si>
  <si>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</si>
  <si>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</si>
  <si>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</si>
  <si>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</si>
  <si>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</si>
  <si>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</si>
  <si>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</si>
  <si>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</si>
  <si>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</si>
  <si>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</si>
  <si>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</si>
  <si>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</si>
  <si>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</si>
  <si>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</si>
  <si>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</si>
  <si>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</si>
  <si>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</si>
  <si>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</si>
  <si>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</si>
  <si>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</si>
  <si>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</si>
  <si>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</si>
  <si>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</si>
  <si>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</si>
  <si>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</si>
  <si>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</si>
  <si>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</si>
  <si>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</si>
  <si>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</si>
  <si>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</si>
  <si>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</si>
  <si>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</si>
  <si>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</si>
  <si>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</si>
  <si>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</si>
  <si>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</si>
  <si>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</si>
  <si>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</si>
  <si>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</si>
  <si>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</si>
  <si>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</si>
  <si>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</si>
  <si>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</si>
  <si>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</si>
  <si>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</si>
  <si>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</si>
  <si>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</si>
  <si>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</si>
  <si>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</si>
  <si>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</si>
  <si>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</si>
  <si>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</si>
  <si>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</si>
  <si>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</si>
  <si>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</si>
  <si>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</si>
  <si>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</si>
  <si>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</si>
  <si>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</si>
  <si>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</si>
  <si>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</si>
  <si>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</si>
  <si>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</si>
  <si>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</si>
  <si>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</si>
  <si>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</si>
  <si>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</si>
  <si>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</si>
  <si>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</si>
  <si>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</si>
  <si>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</si>
  <si>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</si>
  <si>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</si>
  <si>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</si>
  <si>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</si>
  <si>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</si>
  <si>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</si>
  <si>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</si>
  <si>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</si>
  <si>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</si>
  <si>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</si>
  <si>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</si>
  <si>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</si>
  <si>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</si>
  <si>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</si>
  <si>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</si>
  <si>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</si>
  <si>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</si>
  <si>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</si>
  <si>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</si>
  <si>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</si>
  <si>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</si>
  <si>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</si>
  <si>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</si>
  <si>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</si>
  <si>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</si>
  <si>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</si>
  <si>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</si>
  <si>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</si>
  <si>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</si>
  <si>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</si>
  <si>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</si>
  <si>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</si>
  <si>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</si>
  <si>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</si>
  <si>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</si>
  <si>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</si>
  <si>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</si>
  <si>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</si>
  <si>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</si>
  <si>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</si>
  <si>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</si>
  <si>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</si>
  <si>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</si>
  <si>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</si>
  <si>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</si>
  <si>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</si>
  <si>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</si>
  <si>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</si>
  <si>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</si>
  <si>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</si>
  <si>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</si>
  <si>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</si>
  <si>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</si>
  <si>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</si>
  <si>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</si>
  <si>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</si>
  <si>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</si>
  <si>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</si>
  <si>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</si>
  <si>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</si>
  <si>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</si>
  <si>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</si>
  <si>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</si>
  <si>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</si>
  <si>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</si>
  <si>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</si>
  <si>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</si>
  <si>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</si>
  <si>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</si>
  <si>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</si>
  <si>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</si>
  <si>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</si>
  <si>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</si>
  <si>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</si>
  <si>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</si>
  <si>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</si>
  <si>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</si>
  <si>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</si>
  <si>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</si>
  <si>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</si>
  <si>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</si>
  <si>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</si>
  <si>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</si>
  <si>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</si>
  <si>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</si>
  <si>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</si>
  <si>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</si>
  <si>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</si>
  <si>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</si>
  <si>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</si>
  <si>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</si>
  <si>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</si>
  <si>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</si>
  <si>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</si>
  <si>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</si>
  <si>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</si>
  <si>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</si>
  <si>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</si>
  <si>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</si>
  <si>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</si>
  <si>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</si>
  <si>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</si>
  <si>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</si>
  <si>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</si>
  <si>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</si>
  <si>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</si>
  <si>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</si>
  <si>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</si>
  <si>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</si>
  <si>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</si>
  <si>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</si>
  <si>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</si>
  <si>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</si>
  <si>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</si>
  <si>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</si>
  <si>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</si>
  <si>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</si>
  <si>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</si>
  <si>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</si>
  <si>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</si>
  <si>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</si>
  <si>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</si>
  <si>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</si>
  <si>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</si>
  <si>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</si>
  <si>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</si>
  <si>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</si>
  <si>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</si>
  <si>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</si>
  <si>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</si>
  <si>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</si>
  <si>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</si>
  <si>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</si>
  <si>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</si>
  <si>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</si>
  <si>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</si>
  <si>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</si>
  <si>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</si>
  <si>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</si>
  <si>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</si>
  <si>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</si>
  <si>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</si>
  <si>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</si>
  <si>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</si>
  <si>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</si>
  <si>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</si>
  <si>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</si>
  <si>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</si>
  <si>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</si>
  <si>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</si>
  <si>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</si>
  <si>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</si>
  <si>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</si>
  <si>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</si>
  <si>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</si>
  <si>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</si>
  <si>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</si>
  <si>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</si>
  <si>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</si>
  <si>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</si>
  <si>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</si>
  <si>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</si>
  <si>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</si>
  <si>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</si>
  <si>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</si>
  <si>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</si>
  <si>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</si>
  <si>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</si>
  <si>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</si>
  <si>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</si>
  <si>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</si>
  <si>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</si>
  <si>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</si>
  <si>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</si>
  <si>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</si>
  <si>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</si>
  <si>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</si>
  <si>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</si>
  <si>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</si>
  <si>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</si>
  <si>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</si>
  <si>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</si>
  <si>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</si>
  <si>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</si>
  <si>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</si>
  <si>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</si>
  <si>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</si>
  <si>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</si>
  <si>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</si>
  <si>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</si>
  <si>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</si>
  <si>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</si>
  <si>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</si>
  <si>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</si>
  <si>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</si>
  <si>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</si>
  <si>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</si>
  <si>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</si>
  <si>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</si>
  <si>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</si>
  <si>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</si>
  <si>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</si>
  <si>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</si>
  <si>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</si>
  <si>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</si>
  <si>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</si>
  <si>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</si>
  <si>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</si>
  <si>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</si>
  <si>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</si>
  <si>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</si>
  <si>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</si>
  <si>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</si>
  <si>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</si>
  <si>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</si>
  <si>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</si>
  <si>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</si>
  <si>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</si>
  <si>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</si>
  <si>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</si>
  <si>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</si>
  <si>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</si>
  <si>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</si>
  <si>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</si>
  <si>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</si>
  <si>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</si>
  <si>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</si>
  <si>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</si>
  <si>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</si>
  <si>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</si>
  <si>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</si>
  <si>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</si>
  <si>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</si>
  <si>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</si>
  <si>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</si>
  <si>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</si>
  <si>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</si>
  <si>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</si>
  <si>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</si>
  <si>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</si>
  <si>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</si>
  <si>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</si>
  <si>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</si>
  <si>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</si>
  <si>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</si>
  <si>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</si>
  <si>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</si>
  <si>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</si>
  <si>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</si>
  <si>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</si>
  <si>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</si>
  <si>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</si>
  <si>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</si>
  <si>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</si>
  <si>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</si>
  <si>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</si>
  <si>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</si>
  <si>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</si>
  <si>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</si>
  <si>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</si>
  <si>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</si>
  <si>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</si>
  <si>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</si>
  <si>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</si>
  <si>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</si>
  <si>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</si>
  <si>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</si>
  <si>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</si>
  <si>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</si>
  <si>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</si>
  <si>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</si>
  <si>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</si>
  <si>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</si>
  <si>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</si>
  <si>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</si>
  <si>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</si>
  <si>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</si>
  <si>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</si>
  <si>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</si>
  <si>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</si>
  <si>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</si>
  <si>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</si>
  <si>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</si>
  <si>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</si>
  <si>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</si>
  <si>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</si>
  <si>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</si>
  <si>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</si>
  <si>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</si>
  <si>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</si>
  <si>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</si>
  <si>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</si>
  <si>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</si>
  <si>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</si>
  <si>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</si>
  <si>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</si>
  <si>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</si>
  <si>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</si>
  <si>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</si>
  <si>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</si>
  <si>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</si>
  <si>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</si>
  <si>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</si>
  <si>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</si>
  <si>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</si>
  <si>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</si>
  <si>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</si>
  <si>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</si>
  <si>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</si>
  <si>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</si>
  <si>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</si>
  <si>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</si>
  <si>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</si>
  <si>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</si>
  <si>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</si>
  <si>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</si>
  <si>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</si>
  <si>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</si>
  <si>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</si>
  <si>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</si>
  <si>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</si>
  <si>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</si>
  <si>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</si>
  <si>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</si>
  <si>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</si>
  <si>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</si>
  <si>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</si>
  <si>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</si>
  <si>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</si>
  <si>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</si>
  <si>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</si>
  <si>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</si>
  <si>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</si>
  <si>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</si>
  <si>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</si>
  <si>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</si>
  <si>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</si>
  <si>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</si>
  <si>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</si>
  <si>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</si>
  <si>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</si>
  <si>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</si>
  <si>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</si>
  <si>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</si>
  <si>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</si>
  <si>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</si>
  <si>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</si>
  <si>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</si>
  <si>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</si>
  <si>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</si>
  <si>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</si>
  <si>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</si>
  <si>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</si>
  <si>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</si>
  <si>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</si>
  <si>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</si>
  <si>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</si>
  <si>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</si>
  <si>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</si>
  <si>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</si>
  <si>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</si>
  <si>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</si>
  <si>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</si>
  <si>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</si>
  <si>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</si>
  <si>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</si>
  <si>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</si>
  <si>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</si>
  <si>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</si>
  <si>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</si>
  <si>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</si>
  <si>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</si>
  <si>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</si>
  <si>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</si>
  <si>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</si>
  <si>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</si>
  <si>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</si>
  <si>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</si>
  <si>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</si>
  <si>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</si>
  <si>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</si>
  <si>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</si>
  <si>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</si>
  <si>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</si>
  <si>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</si>
  <si>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</si>
  <si>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</si>
  <si>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</si>
  <si>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</si>
  <si>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</si>
  <si>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</si>
  <si>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</si>
  <si>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</si>
  <si>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</si>
  <si>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</si>
  <si>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</si>
  <si>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</si>
  <si>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</si>
  <si>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</si>
  <si>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</si>
  <si>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</si>
  <si>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</si>
  <si>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</si>
  <si>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</si>
  <si>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</si>
  <si>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</si>
  <si>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</si>
  <si>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</si>
  <si>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</si>
  <si>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</si>
  <si>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</si>
  <si>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</si>
  <si>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</si>
  <si>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</si>
  <si>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</si>
  <si>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</si>
  <si>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</si>
  <si>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</si>
  <si>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</si>
  <si>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</si>
  <si>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</si>
  <si>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</si>
  <si>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</si>
  <si>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</si>
  <si>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</si>
  <si>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</si>
  <si>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</si>
  <si>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</si>
  <si>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</si>
  <si>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</si>
  <si>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</si>
  <si>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</si>
  <si>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</si>
  <si>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</si>
  <si>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</si>
  <si>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</si>
  <si>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</si>
  <si>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</si>
  <si>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</si>
  <si>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</si>
  <si>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</si>
  <si>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</si>
  <si>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</si>
  <si>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</si>
  <si>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</si>
  <si>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</si>
  <si>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</si>
  <si>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</si>
  <si>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</si>
  <si>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</si>
  <si>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</si>
  <si>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</si>
  <si>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</si>
  <si>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</si>
  <si>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</si>
  <si>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</si>
  <si>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</si>
  <si>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</si>
  <si>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</si>
  <si>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</si>
  <si>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</si>
  <si>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</si>
  <si>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</si>
  <si>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</si>
  <si>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</si>
  <si>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</si>
  <si>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</si>
  <si>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</si>
  <si>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</si>
  <si>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</si>
  <si>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</si>
  <si>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</si>
  <si>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</si>
  <si>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</si>
  <si>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</si>
  <si>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</si>
  <si>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</si>
  <si>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</si>
  <si>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</si>
  <si>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</si>
  <si>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</si>
  <si>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</si>
  <si>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</si>
  <si>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</si>
  <si>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</si>
  <si>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</si>
  <si>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</si>
  <si>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</si>
  <si>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</si>
  <si>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</si>
  <si>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</si>
  <si>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</si>
  <si>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</si>
  <si>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</si>
  <si>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</si>
  <si>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</si>
  <si>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</si>
  <si>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</si>
  <si>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</si>
  <si>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</si>
  <si>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</si>
  <si>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</si>
  <si>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</si>
  <si>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</si>
  <si>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</si>
  <si>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</si>
  <si>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</si>
  <si>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</si>
  <si>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</si>
  <si>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</si>
  <si>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</si>
  <si>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</si>
  <si>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</si>
  <si>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</si>
  <si>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</si>
  <si>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</si>
  <si>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</si>
  <si>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</si>
  <si>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</si>
  <si>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</si>
  <si>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</si>
  <si>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</si>
  <si>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</si>
  <si>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</si>
  <si>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</si>
  <si>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</si>
  <si>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</si>
  <si>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</si>
  <si>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</si>
  <si>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</si>
  <si>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</si>
  <si>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</si>
  <si>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</si>
  <si>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</si>
  <si>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</si>
  <si>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</si>
  <si>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</si>
  <si>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</si>
  <si>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</si>
  <si>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</si>
  <si>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</si>
  <si>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</si>
  <si>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</si>
  <si>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</si>
  <si>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</si>
  <si>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</si>
  <si>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</si>
  <si>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</si>
  <si>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</si>
  <si>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</si>
  <si>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</si>
  <si>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</si>
  <si>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</si>
  <si>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</si>
  <si>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</si>
  <si>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</si>
  <si>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</si>
  <si>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</si>
  <si>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</si>
  <si>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</si>
  <si>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</si>
  <si>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</si>
  <si>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</si>
  <si>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</si>
  <si>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</si>
  <si>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</si>
  <si>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</si>
  <si>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</si>
  <si>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</si>
  <si>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</si>
  <si>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</si>
  <si>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</si>
  <si>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</si>
  <si>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</si>
  <si>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</si>
  <si>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</si>
  <si>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</si>
  <si>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</si>
  <si>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</si>
  <si>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</si>
  <si>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</si>
  <si>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</si>
  <si>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</si>
  <si>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</si>
  <si>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</si>
  <si>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</si>
  <si>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</si>
  <si>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</si>
  <si>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</si>
  <si>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</si>
  <si>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</si>
  <si>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</si>
  <si>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</si>
  <si>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</si>
  <si>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</si>
  <si>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</si>
  <si>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</si>
  <si>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</si>
  <si>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</si>
  <si>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</si>
  <si>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</si>
  <si>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</si>
  <si>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</si>
  <si>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</si>
  <si>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</si>
  <si>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</si>
  <si>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</si>
  <si>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</si>
  <si>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</si>
  <si>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</si>
  <si>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</si>
  <si>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</si>
  <si>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</si>
  <si>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</si>
  <si>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</si>
  <si>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</si>
  <si>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</si>
  <si>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</si>
  <si>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</si>
  <si>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</si>
  <si>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</si>
  <si>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</si>
  <si>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</si>
  <si>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</si>
  <si>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</si>
  <si>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</si>
  <si>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</si>
  <si>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</si>
  <si>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</si>
  <si>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</si>
  <si>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</si>
  <si>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</si>
  <si>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</si>
  <si>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</si>
  <si>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</si>
  <si>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</si>
  <si>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</si>
  <si>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</si>
  <si>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</si>
  <si>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</si>
  <si>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</si>
  <si>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</si>
  <si>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</si>
  <si>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</si>
  <si>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</si>
  <si>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</si>
  <si>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</si>
  <si>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</si>
  <si>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</si>
  <si>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</si>
  <si>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</si>
  <si>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</si>
  <si>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</si>
  <si>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</si>
  <si>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</si>
  <si>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</si>
  <si>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</si>
  <si>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</si>
  <si>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</si>
  <si>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</si>
  <si>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</si>
  <si>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</si>
  <si>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</si>
  <si>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</si>
  <si>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</si>
  <si>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</si>
  <si>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</si>
  <si>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</si>
  <si>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</si>
  <si>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</si>
  <si>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</si>
  <si>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</si>
  <si>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</si>
  <si>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</si>
  <si>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</si>
  <si>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</si>
  <si>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</si>
  <si>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</si>
  <si>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</si>
  <si>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</si>
  <si>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</si>
  <si>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</si>
  <si>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</si>
  <si>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</si>
  <si>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</si>
  <si>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</si>
  <si>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</si>
  <si>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</si>
  <si>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</si>
  <si>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</si>
  <si>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</si>
  <si>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</si>
  <si>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</si>
  <si>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</si>
  <si>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</si>
  <si>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</si>
  <si>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</si>
  <si>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</si>
  <si>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</si>
  <si>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</si>
  <si>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</si>
  <si>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</si>
  <si>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</si>
  <si>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</si>
  <si>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</si>
  <si>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</si>
  <si>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</si>
  <si>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</si>
  <si>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</si>
  <si>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</si>
  <si>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</si>
  <si>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</si>
  <si>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</si>
  <si>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</si>
  <si>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</si>
  <si>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</si>
  <si>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</si>
  <si>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</si>
  <si>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</si>
  <si>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</si>
  <si>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</si>
  <si>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</si>
  <si>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</si>
  <si>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</si>
  <si>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</si>
  <si>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</si>
  <si>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</si>
  <si>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</si>
  <si>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</si>
  <si>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</si>
  <si>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</si>
  <si>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</si>
  <si>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</si>
  <si>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</si>
  <si>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</si>
  <si>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</si>
  <si>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</si>
  <si>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</si>
  <si>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</si>
  <si>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</si>
  <si>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</si>
  <si>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</si>
  <si>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</si>
  <si>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</si>
  <si>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</si>
  <si>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</si>
  <si>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</si>
  <si>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</si>
  <si>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</si>
  <si>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</si>
  <si>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</si>
  <si>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</si>
  <si>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</si>
  <si>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</si>
  <si>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</si>
  <si>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</si>
  <si>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</si>
  <si>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</si>
  <si>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</si>
  <si>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</si>
  <si>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</si>
  <si>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</si>
  <si>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</si>
  <si>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</si>
  <si>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</si>
  <si>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</si>
  <si>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</si>
  <si>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</si>
  <si>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</si>
  <si>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</si>
  <si>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</si>
  <si>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</si>
  <si>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</si>
  <si>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</si>
  <si>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</si>
  <si>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</si>
  <si>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</si>
  <si>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</si>
  <si>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</si>
  <si>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</si>
  <si>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</si>
  <si>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</si>
  <si>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</si>
  <si>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</si>
  <si>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</si>
  <si>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</si>
  <si>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</si>
  <si>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</si>
  <si>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</si>
  <si>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</si>
  <si>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</si>
  <si>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</si>
  <si>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</si>
  <si>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</si>
  <si>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</si>
  <si>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</si>
  <si>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</si>
  <si>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</si>
  <si>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</si>
  <si>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</si>
  <si>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</si>
  <si>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</si>
  <si>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</si>
  <si>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</si>
  <si>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</si>
  <si>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</si>
  <si>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</si>
  <si>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</si>
  <si>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</si>
  <si>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</si>
  <si>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</si>
  <si>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</si>
  <si>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</si>
  <si>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</si>
  <si>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</si>
  <si>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</si>
  <si>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</si>
  <si>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</si>
  <si>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</si>
  <si>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</si>
  <si>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</si>
  <si>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</si>
  <si>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</si>
  <si>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</si>
  <si>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</si>
  <si>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</si>
  <si>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</si>
  <si>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</si>
  <si>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</si>
  <si>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</si>
  <si>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</si>
  <si>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</si>
  <si>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</si>
  <si>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</si>
  <si>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</si>
  <si>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</si>
  <si>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</si>
  <si>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</si>
  <si>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</si>
  <si>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</si>
  <si>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</si>
  <si>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</si>
  <si>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</si>
  <si>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</si>
  <si>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</si>
  <si>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</si>
  <si>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</si>
  <si>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</si>
  <si>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</si>
  <si>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</si>
  <si>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</si>
  <si>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</si>
  <si>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</si>
  <si>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</si>
  <si>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</si>
  <si>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</si>
  <si>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</si>
  <si>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</si>
  <si>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</si>
  <si>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</si>
  <si>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</si>
  <si>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</si>
  <si>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</si>
  <si>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</si>
  <si>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</si>
  <si>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</si>
  <si>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</si>
  <si>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</si>
  <si>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</si>
  <si>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</si>
  <si>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</si>
  <si>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</si>
  <si>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</si>
  <si>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</si>
  <si>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</si>
  <si>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</si>
  <si>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</si>
  <si>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</si>
  <si>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</si>
  <si>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</si>
  <si>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</si>
  <si>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</si>
  <si>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</si>
  <si>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</si>
  <si>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</si>
  <si>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</si>
  <si>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</si>
  <si>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</si>
  <si>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</si>
  <si>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</si>
  <si>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</si>
  <si>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</si>
  <si>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</si>
  <si>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</si>
  <si>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</si>
  <si>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</si>
  <si>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</si>
  <si>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</si>
  <si>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</si>
  <si>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</si>
  <si>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</si>
  <si>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</si>
  <si>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</si>
  <si>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</si>
  <si>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</si>
  <si>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</si>
  <si>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</si>
  <si>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</si>
  <si>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</si>
  <si>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</si>
  <si>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</si>
  <si>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</si>
  <si>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</si>
  <si>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</si>
  <si>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</si>
  <si>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</si>
  <si>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</si>
  <si>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</si>
  <si>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</si>
  <si>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</si>
  <si>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</si>
  <si>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</si>
  <si>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</si>
  <si>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</si>
  <si>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</si>
  <si>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</si>
  <si>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</si>
  <si>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</si>
  <si>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</si>
  <si>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</si>
  <si>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</si>
  <si>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</si>
  <si>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</si>
  <si>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</si>
  <si>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</si>
  <si>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</si>
  <si>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</si>
  <si>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</si>
  <si>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</si>
  <si>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</si>
  <si>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</si>
  <si>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</si>
  <si>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</si>
  <si>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</si>
  <si>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</si>
  <si>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</si>
  <si>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</si>
  <si>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</si>
  <si>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</si>
  <si>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</si>
  <si>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</si>
  <si>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</si>
  <si>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</si>
  <si>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</si>
  <si>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</si>
  <si>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</si>
  <si>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</si>
  <si>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</si>
  <si>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</si>
  <si>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</si>
  <si>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</si>
  <si>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</si>
  <si>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</si>
  <si>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</si>
  <si>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</si>
  <si>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</si>
  <si>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</si>
  <si>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</si>
  <si>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</si>
  <si>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</si>
  <si>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</si>
  <si>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</si>
  <si>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</si>
  <si>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</si>
  <si>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</si>
  <si>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</si>
  <si>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</si>
  <si>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</si>
  <si>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</si>
  <si>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</si>
  <si>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</si>
  <si>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</si>
  <si>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</si>
  <si>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</si>
  <si>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</si>
  <si>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</si>
  <si>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</si>
  <si>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</si>
  <si>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</si>
  <si>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</si>
  <si>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</si>
  <si>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</si>
  <si>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</si>
  <si>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</si>
  <si>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</si>
  <si>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</si>
  <si>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</si>
  <si>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</si>
  <si>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</si>
  <si>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</si>
  <si>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</si>
  <si>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</si>
  <si>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</si>
  <si>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</si>
  <si>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</si>
  <si>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</si>
  <si>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</si>
  <si>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</si>
  <si>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</si>
  <si>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</si>
  <si>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</si>
  <si>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</si>
  <si>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</si>
  <si>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</si>
  <si>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</si>
  <si>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</si>
  <si>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</si>
  <si>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</si>
  <si>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</si>
  <si>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</si>
  <si>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</si>
  <si>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</si>
  <si>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</si>
  <si>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</si>
  <si>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</si>
  <si>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</si>
  <si>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</si>
  <si>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</si>
  <si>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</si>
  <si>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</si>
  <si>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</si>
  <si>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</si>
  <si>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</si>
  <si>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</si>
  <si>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</si>
  <si>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</si>
  <si>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</si>
  <si>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</si>
  <si>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</si>
  <si>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</si>
  <si>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</si>
  <si>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</si>
  <si>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</si>
  <si>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</si>
  <si>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</si>
  <si>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</si>
  <si>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</si>
  <si>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</si>
  <si>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</si>
  <si>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</si>
  <si>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</si>
  <si>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</si>
  <si>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</si>
  <si>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</si>
  <si>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</si>
  <si>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</si>
  <si>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</si>
  <si>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</si>
  <si>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</si>
  <si>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</si>
  <si>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</si>
  <si>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</si>
  <si>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</si>
  <si>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</si>
  <si>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</si>
  <si>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</si>
  <si>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</si>
  <si>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</si>
  <si>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</si>
  <si>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</si>
  <si>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</si>
  <si>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</si>
  <si>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</si>
  <si>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</si>
  <si>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</si>
  <si>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</si>
  <si>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</si>
  <si>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</si>
  <si>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</si>
  <si>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</si>
  <si>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</si>
  <si>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</si>
  <si>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</si>
  <si>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</si>
  <si>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</si>
  <si>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</si>
  <si>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</si>
  <si>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</si>
  <si>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</si>
  <si>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</si>
  <si>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</si>
  <si>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</si>
  <si>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</si>
  <si>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</si>
  <si>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</si>
  <si>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</si>
  <si>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</si>
  <si>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</si>
  <si>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</si>
  <si>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</si>
  <si>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</si>
  <si>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</si>
  <si>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</si>
  <si>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</si>
  <si>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</si>
  <si>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</si>
  <si>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</si>
  <si>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</si>
  <si>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</si>
  <si>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</si>
  <si>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</si>
  <si>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</si>
  <si>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</si>
  <si>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</si>
  <si>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</si>
  <si>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</si>
  <si>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</si>
  <si>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</si>
  <si>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</si>
  <si>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</si>
  <si>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</si>
  <si>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</si>
  <si>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</si>
  <si>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</si>
  <si>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</si>
  <si>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</si>
  <si>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</si>
  <si>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</si>
  <si>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</si>
  <si>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</si>
  <si>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</si>
  <si>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</si>
  <si>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</si>
  <si>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</si>
  <si>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</si>
  <si>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</si>
  <si>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</si>
  <si>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</si>
  <si>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</si>
  <si>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</si>
  <si>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</si>
  <si>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</si>
  <si>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</si>
  <si>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</si>
  <si>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</si>
  <si>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</si>
  <si>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</si>
  <si>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</si>
  <si>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</si>
  <si>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</si>
  <si>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</si>
  <si>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</si>
  <si>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</si>
  <si>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</si>
  <si>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</si>
  <si>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</si>
  <si>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</si>
  <si>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</si>
  <si>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</si>
  <si>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</si>
  <si>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</si>
  <si>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</si>
  <si>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</si>
  <si>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</si>
  <si>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</si>
  <si>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</si>
  <si>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</si>
  <si>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</si>
  <si>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</si>
  <si>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</si>
  <si>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</si>
  <si>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</si>
  <si>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</si>
  <si>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</si>
  <si>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</si>
  <si>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</si>
  <si>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</si>
  <si>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</si>
  <si>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</si>
  <si>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</si>
  <si>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</si>
  <si>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</si>
  <si>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</si>
  <si>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</si>
  <si>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</si>
  <si>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</si>
  <si>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</si>
  <si>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</si>
  <si>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</si>
  <si>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</si>
  <si>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</si>
  <si>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</si>
  <si>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</si>
  <si>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</si>
  <si>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</si>
  <si>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</si>
  <si>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</si>
  <si>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</si>
  <si>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</si>
  <si>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</si>
  <si>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</si>
  <si>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</si>
  <si>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</si>
  <si>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</si>
  <si>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</si>
  <si>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</si>
  <si>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</si>
  <si>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</si>
  <si>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</si>
  <si>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</si>
  <si>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</si>
  <si>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</si>
  <si>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</si>
  <si>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</si>
  <si>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</si>
  <si>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</si>
  <si>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</si>
  <si>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</si>
  <si>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</si>
  <si>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</si>
  <si>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</si>
  <si>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</si>
  <si>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</si>
  <si>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</si>
  <si>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</si>
  <si>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</si>
  <si>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</si>
  <si>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</si>
  <si>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</si>
  <si>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</si>
  <si>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</si>
  <si>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</si>
  <si>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</si>
  <si>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</si>
  <si>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</si>
  <si>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</si>
  <si>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</si>
  <si>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</si>
  <si>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</si>
  <si>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</si>
  <si>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</si>
  <si>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</si>
  <si>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</si>
  <si>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</si>
  <si>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</si>
  <si>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</si>
  <si>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</si>
  <si>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</si>
  <si>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</si>
  <si>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</si>
  <si>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</si>
  <si>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</si>
  <si>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</si>
  <si>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</si>
  <si>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</si>
  <si>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</si>
  <si>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</si>
  <si>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</si>
  <si>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</si>
  <si>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</si>
  <si>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</si>
  <si>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</si>
  <si>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</si>
  <si>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</si>
  <si>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</si>
  <si>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</si>
  <si>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</si>
  <si>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</si>
  <si>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</si>
  <si>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</si>
  <si>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</si>
  <si>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</si>
  <si>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</si>
  <si>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</si>
  <si>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</si>
  <si>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</si>
  <si>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</si>
  <si>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</si>
  <si>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</si>
  <si>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</si>
  <si>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</si>
  <si>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</si>
  <si>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</si>
  <si>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</si>
  <si>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</si>
  <si>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</si>
  <si>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</si>
  <si>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</si>
  <si>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</si>
  <si>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</si>
  <si>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</si>
  <si>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</si>
  <si>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</si>
  <si>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</si>
  <si>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</si>
  <si>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</si>
  <si>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</si>
  <si>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</si>
  <si>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</si>
  <si>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</si>
  <si>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</si>
  <si>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</si>
  <si>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</si>
  <si>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</si>
  <si>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</si>
  <si>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</si>
  <si>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</si>
  <si>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</si>
  <si>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</si>
  <si>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</si>
  <si>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</si>
  <si>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</si>
  <si>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</si>
  <si>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</si>
  <si>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</si>
  <si>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</si>
  <si>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</si>
  <si>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</si>
  <si>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</si>
  <si>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</si>
  <si>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</si>
  <si>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</si>
  <si>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</si>
  <si>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</si>
  <si>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</si>
  <si>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</si>
  <si>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</si>
  <si>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</si>
  <si>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</si>
  <si>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</si>
  <si>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</si>
  <si>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</si>
  <si>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</si>
  <si>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</si>
  <si>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</si>
  <si>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</si>
  <si>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</si>
  <si>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</si>
  <si>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</si>
  <si>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</si>
  <si>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</si>
  <si>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</si>
  <si>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</si>
  <si>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</si>
  <si>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</si>
  <si>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</si>
  <si>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</si>
  <si>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</si>
  <si>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</si>
  <si>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</si>
  <si>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</si>
  <si>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</si>
  <si>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</si>
  <si>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</si>
  <si>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</si>
  <si>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</si>
  <si>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</si>
  <si>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</si>
  <si>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</si>
  <si>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</si>
  <si>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</si>
  <si>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</si>
  <si>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</si>
  <si>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</si>
  <si>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</si>
  <si>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</si>
  <si>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</si>
  <si>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</si>
  <si>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</si>
  <si>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</si>
  <si>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</si>
  <si>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</si>
  <si>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</si>
  <si>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</si>
  <si>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</si>
  <si>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</si>
  <si>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</si>
  <si>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</si>
  <si>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</si>
  <si>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</si>
  <si>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</si>
  <si>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</si>
  <si>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</si>
  <si>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</si>
  <si>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</si>
  <si>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</si>
  <si>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</si>
  <si>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</si>
  <si>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</si>
  <si>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</si>
  <si>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</si>
  <si>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</si>
  <si>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</si>
  <si>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</si>
  <si>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</si>
  <si>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</si>
  <si>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</si>
  <si>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</si>
  <si>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</si>
  <si>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</si>
  <si>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</si>
  <si>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</si>
  <si>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</si>
  <si>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</si>
  <si>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</si>
  <si>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</si>
  <si>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</si>
  <si>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</si>
  <si>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</si>
  <si>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</si>
  <si>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</si>
  <si>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</si>
  <si>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</si>
  <si>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</si>
  <si>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</si>
  <si>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</si>
  <si>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</si>
  <si>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</si>
  <si>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</si>
  <si>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</si>
  <si>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郑燚</t>
  </si>
  <si>
    <t>王鹏</t>
  </si>
  <si>
    <t>济南三盛房地产开发有限公司</t>
    <phoneticPr fontId="6" type="noConversion"/>
  </si>
  <si>
    <t>国投信托有限公司</t>
    <phoneticPr fontId="6" type="noConversion"/>
  </si>
  <si>
    <t>抵押</t>
  </si>
  <si>
    <t>房地产抵押价值</t>
  </si>
  <si>
    <t>其他：</t>
  </si>
  <si>
    <t>企业</t>
  </si>
  <si>
    <t>出让</t>
  </si>
  <si>
    <t>山东省济南市</t>
    <phoneticPr fontId="6" type="noConversion"/>
  </si>
  <si>
    <t>高新区凤凰路以西、旅游路以南</t>
    <phoneticPr fontId="6" type="noConversion"/>
  </si>
  <si>
    <t>土地面积</t>
    <phoneticPr fontId="143" type="noConversion"/>
  </si>
  <si>
    <t>西地块</t>
    <phoneticPr fontId="143" type="noConversion"/>
  </si>
  <si>
    <t>东地块</t>
    <phoneticPr fontId="143" type="noConversion"/>
  </si>
  <si>
    <r>
      <t>8</t>
    </r>
    <r>
      <rPr>
        <sz val="11"/>
        <color theme="1"/>
        <rFont val="宋体"/>
        <family val="3"/>
        <charset val="134"/>
        <scheme val="minor"/>
      </rPr>
      <t>#</t>
    </r>
    <phoneticPr fontId="143" type="noConversion"/>
  </si>
  <si>
    <t>9#</t>
    <phoneticPr fontId="143" type="noConversion"/>
  </si>
  <si>
    <r>
      <t>10#</t>
    </r>
    <r>
      <rPr>
        <sz val="11"/>
        <color theme="1"/>
        <rFont val="宋体"/>
        <family val="3"/>
        <charset val="134"/>
        <scheme val="minor"/>
      </rPr>
      <t/>
    </r>
  </si>
  <si>
    <t>11#</t>
  </si>
  <si>
    <r>
      <t>12#</t>
    </r>
    <r>
      <rPr>
        <sz val="11"/>
        <color theme="1"/>
        <rFont val="宋体"/>
        <family val="3"/>
        <charset val="134"/>
        <scheme val="minor"/>
      </rPr>
      <t/>
    </r>
  </si>
  <si>
    <t>车库A</t>
    <phoneticPr fontId="143" type="noConversion"/>
  </si>
  <si>
    <t>车库B</t>
    <phoneticPr fontId="143" type="noConversion"/>
  </si>
  <si>
    <t>换热站</t>
    <phoneticPr fontId="143" type="noConversion"/>
  </si>
  <si>
    <t>地上</t>
  </si>
  <si>
    <t>地上</t>
    <phoneticPr fontId="143" type="noConversion"/>
  </si>
  <si>
    <t>地下</t>
  </si>
  <si>
    <t>地下</t>
    <phoneticPr fontId="143" type="noConversion"/>
  </si>
  <si>
    <t>标黄为建工规证记载面积</t>
    <phoneticPr fontId="143" type="noConversion"/>
  </si>
  <si>
    <t>合计</t>
    <phoneticPr fontId="143" type="noConversion"/>
  </si>
  <si>
    <r>
      <t>1</t>
    </r>
    <r>
      <rPr>
        <sz val="11"/>
        <color theme="1"/>
        <rFont val="宋体"/>
        <family val="3"/>
        <charset val="134"/>
        <scheme val="minor"/>
      </rPr>
      <t>3#</t>
    </r>
    <phoneticPr fontId="143" type="noConversion"/>
  </si>
  <si>
    <r>
      <t>1</t>
    </r>
    <r>
      <rPr>
        <sz val="11"/>
        <color theme="1"/>
        <rFont val="宋体"/>
        <family val="3"/>
        <charset val="134"/>
        <scheme val="minor"/>
      </rPr>
      <t>4#</t>
    </r>
    <phoneticPr fontId="143" type="noConversion"/>
  </si>
  <si>
    <t>15#</t>
    <phoneticPr fontId="143" type="noConversion"/>
  </si>
  <si>
    <t>车库C</t>
    <phoneticPr fontId="143" type="noConversion"/>
  </si>
  <si>
    <t>标红为抵押范围</t>
    <phoneticPr fontId="143" type="noConversion"/>
  </si>
  <si>
    <t>住宅</t>
  </si>
  <si>
    <t>配套</t>
    <phoneticPr fontId="3" type="noConversion"/>
  </si>
  <si>
    <t>车库</t>
  </si>
  <si>
    <t>是</t>
  </si>
  <si>
    <t>否</t>
  </si>
  <si>
    <t>平层住宅</t>
  </si>
  <si>
    <t>住宅</t>
    <phoneticPr fontId="143" type="noConversion"/>
  </si>
  <si>
    <t>车库</t>
    <phoneticPr fontId="143" type="noConversion"/>
  </si>
  <si>
    <t>16#（售楼处）</t>
    <phoneticPr fontId="143" type="noConversion"/>
  </si>
  <si>
    <t>储藏</t>
    <phoneticPr fontId="3" type="noConversion"/>
  </si>
  <si>
    <t>戊类库房</t>
  </si>
  <si>
    <t>交换站</t>
    <phoneticPr fontId="3" type="noConversion"/>
  </si>
  <si>
    <t>已建住宅</t>
    <phoneticPr fontId="3" type="noConversion"/>
  </si>
  <si>
    <t>未建住宅</t>
    <phoneticPr fontId="3" type="noConversion"/>
  </si>
  <si>
    <t>已建住宅</t>
    <phoneticPr fontId="7" type="noConversion"/>
  </si>
  <si>
    <t>未建住宅</t>
    <phoneticPr fontId="7" type="noConversion"/>
  </si>
  <si>
    <t>已建车库</t>
    <phoneticPr fontId="3" type="noConversion"/>
  </si>
  <si>
    <t>未建车库</t>
    <phoneticPr fontId="3" type="noConversion"/>
  </si>
  <si>
    <t>未建车库</t>
    <phoneticPr fontId="7" type="noConversion"/>
  </si>
  <si>
    <t>储藏室</t>
    <phoneticPr fontId="7" type="noConversion"/>
  </si>
  <si>
    <t>济南二级</t>
  </si>
  <si>
    <t>济南二级</t>
    <phoneticPr fontId="3" type="noConversion"/>
  </si>
  <si>
    <t>已建住宅</t>
  </si>
  <si>
    <t>储藏室</t>
  </si>
  <si>
    <t>未建住宅</t>
  </si>
  <si>
    <t>未建车库</t>
  </si>
  <si>
    <t>70</t>
    <phoneticPr fontId="31" type="noConversion"/>
  </si>
  <si>
    <t>正常</t>
  </si>
  <si>
    <t>成本法</t>
  </si>
  <si>
    <t>假设开发法</t>
  </si>
  <si>
    <t>住宅</t>
    <phoneticPr fontId="31" type="noConversion"/>
  </si>
  <si>
    <t>一般</t>
  </si>
  <si>
    <t>较好</t>
  </si>
  <si>
    <t>七通</t>
  </si>
  <si>
    <t>双面临街</t>
  </si>
  <si>
    <t>单面临街</t>
  </si>
  <si>
    <t>快速路</t>
    <phoneticPr fontId="31" type="noConversion"/>
  </si>
  <si>
    <t>主干道</t>
  </si>
  <si>
    <t>主干道</t>
    <phoneticPr fontId="31" type="noConversion"/>
  </si>
  <si>
    <t>次干道</t>
  </si>
  <si>
    <t>次干道</t>
    <phoneticPr fontId="31" type="noConversion"/>
  </si>
  <si>
    <t>支路</t>
    <phoneticPr fontId="31" type="noConversion"/>
  </si>
  <si>
    <t>较规则</t>
  </si>
  <si>
    <t>较规则</t>
    <phoneticPr fontId="31" type="noConversion"/>
  </si>
  <si>
    <t>三通</t>
  </si>
  <si>
    <t>三通</t>
    <phoneticPr fontId="31" type="noConversion"/>
  </si>
  <si>
    <t>较好</t>
    <phoneticPr fontId="31" type="noConversion"/>
  </si>
  <si>
    <t>较适宜</t>
  </si>
  <si>
    <t>较适宜</t>
    <phoneticPr fontId="31" type="noConversion"/>
  </si>
  <si>
    <t>济南</t>
  </si>
  <si>
    <t>车位数</t>
    <phoneticPr fontId="143" type="noConversion"/>
  </si>
  <si>
    <t>个</t>
    <phoneticPr fontId="143" type="noConversion"/>
  </si>
  <si>
    <t>分摊未建车位数</t>
    <phoneticPr fontId="143" type="noConversion"/>
  </si>
  <si>
    <t>收益法</t>
  </si>
  <si>
    <t>自定义</t>
  </si>
  <si>
    <t>钢混</t>
  </si>
  <si>
    <t>非生产用房</t>
  </si>
  <si>
    <t>在建（套用方法）</t>
  </si>
  <si>
    <t>济南市舜华南路与旅游路交汇处</t>
    <phoneticPr fontId="3" type="noConversion"/>
  </si>
  <si>
    <t>华皓英伦联邦</t>
    <phoneticPr fontId="3" type="noConversion"/>
  </si>
  <si>
    <t>住宅</t>
    <phoneticPr fontId="25" type="noConversion"/>
  </si>
  <si>
    <t>60-70（含）</t>
  </si>
  <si>
    <t>高板</t>
  </si>
  <si>
    <t>高板</t>
    <phoneticPr fontId="25" type="noConversion"/>
  </si>
  <si>
    <t>钢混</t>
    <phoneticPr fontId="25" type="noConversion"/>
  </si>
  <si>
    <t>高档</t>
  </si>
  <si>
    <t>高档</t>
    <phoneticPr fontId="25" type="noConversion"/>
  </si>
  <si>
    <t>精装</t>
  </si>
  <si>
    <t>精装</t>
    <phoneticPr fontId="25" type="noConversion"/>
  </si>
  <si>
    <t>专业</t>
  </si>
  <si>
    <t>专业</t>
    <phoneticPr fontId="25" type="noConversion"/>
  </si>
  <si>
    <t>平层</t>
  </si>
  <si>
    <t>平层</t>
    <phoneticPr fontId="25" type="noConversion"/>
  </si>
  <si>
    <t>七通</t>
    <phoneticPr fontId="25" type="noConversion"/>
  </si>
  <si>
    <t>毛坯</t>
  </si>
  <si>
    <t>毛坯</t>
    <phoneticPr fontId="25" type="noConversion"/>
  </si>
  <si>
    <t>万科金域华府</t>
    <phoneticPr fontId="3" type="noConversion"/>
  </si>
  <si>
    <t>山东省济南市历下区经十路与凤山路交叉口北行约400米</t>
    <phoneticPr fontId="3" type="noConversion"/>
  </si>
  <si>
    <t>恒大龙奥御苑</t>
    <phoneticPr fontId="3" type="noConversion"/>
  </si>
  <si>
    <t>山东省济南市历下区历下区龙鼎大道全运村南行300米</t>
    <phoneticPr fontId="3" type="noConversion"/>
  </si>
  <si>
    <t>简装</t>
    <phoneticPr fontId="25" type="noConversion"/>
  </si>
  <si>
    <t>普装</t>
    <phoneticPr fontId="25" type="noConversion"/>
  </si>
  <si>
    <t>精装</t>
    <phoneticPr fontId="25" type="noConversion"/>
  </si>
  <si>
    <t>2017-G092</t>
    <phoneticPr fontId="3" type="noConversion"/>
  </si>
  <si>
    <t>高新区旅游路以南、舜华路以东</t>
    <phoneticPr fontId="3" type="noConversion"/>
  </si>
  <si>
    <t>2017-G081</t>
    <phoneticPr fontId="3" type="noConversion"/>
  </si>
  <si>
    <t>高新区旅游路以南、凤凰路以西</t>
    <phoneticPr fontId="3" type="noConversion"/>
  </si>
  <si>
    <t>2017-G083</t>
    <phoneticPr fontId="3" type="noConversion"/>
  </si>
  <si>
    <t>高新区旅游路以南、凤凰路以东</t>
    <phoneticPr fontId="3" type="noConversion"/>
  </si>
  <si>
    <t>成本比率</t>
  </si>
  <si>
    <t>总价</t>
  </si>
  <si>
    <t>配套</t>
    <phoneticPr fontId="143" type="noConversion"/>
  </si>
  <si>
    <t>地上住宅</t>
    <phoneticPr fontId="143" type="noConversion"/>
  </si>
  <si>
    <t>地上底商</t>
    <phoneticPr fontId="143" type="noConversion"/>
  </si>
  <si>
    <t>未建商业</t>
  </si>
  <si>
    <t>未建商业</t>
    <phoneticPr fontId="3" type="noConversion"/>
  </si>
  <si>
    <t>底商</t>
  </si>
  <si>
    <t>未建商业</t>
    <phoneticPr fontId="7" type="noConversion"/>
  </si>
  <si>
    <t>收益法 (底商)</t>
  </si>
  <si>
    <t>收益法 (底商)</t>
    <phoneticPr fontId="16" type="noConversion"/>
  </si>
  <si>
    <t>是否坡地</t>
    <phoneticPr fontId="31" type="noConversion"/>
  </si>
  <si>
    <t>是</t>
    <phoneticPr fontId="31" type="noConversion"/>
  </si>
  <si>
    <t>否</t>
    <phoneticPr fontId="31" type="noConversion"/>
  </si>
  <si>
    <t>一般</t>
    <phoneticPr fontId="31" type="noConversion"/>
  </si>
  <si>
    <t>2.估价师知悉的除抵押担保权以外的法定优先受偿款</t>
  </si>
  <si>
    <t>已注销</t>
  </si>
  <si>
    <t>地下与车库公用部分</t>
    <phoneticPr fontId="143" type="noConversion"/>
  </si>
  <si>
    <t>地下仓储</t>
    <phoneticPr fontId="143" type="noConversion"/>
  </si>
  <si>
    <t>仓储</t>
  </si>
  <si>
    <t>部分缴纳</t>
  </si>
  <si>
    <t>未包含在土地购买价格中</t>
  </si>
  <si>
    <t>已部分缴纳</t>
  </si>
  <si>
    <t>押一</t>
  </si>
  <si>
    <t>已建商业（售楼处）</t>
  </si>
  <si>
    <t>已建商业（售楼处）</t>
    <phoneticPr fontId="3" type="noConversion"/>
  </si>
  <si>
    <t>已建商业（售楼处）</t>
    <phoneticPr fontId="7" type="noConversion"/>
  </si>
  <si>
    <t>收益法 (售楼处)</t>
  </si>
  <si>
    <t>收益法 (售楼处)</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</si>
</sst>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0"/>
      <color indexed="8"/>
      <name val="宋体"/>
      <family val="3"/>
      <charset val="134"/>
      <scheme val="minor"/>
    </font>
    <font>
      <sz val="10"/>
      <color indexed="8"/>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191" fillId="7" borderId="60" xfId="0" applyFont="1" applyFill="1" applyBorder="1" applyAlignment="1" applyProtection="1">
      <alignment vertical="center" wrapText="1"/>
      <protection locked="0"/>
    </xf>
    <xf numFmtId="49" fontId="225" fillId="0" borderId="4" xfId="0" applyNumberFormat="1" applyFont="1" applyFill="1" applyBorder="1" applyAlignment="1" applyProtection="1">
      <alignment horizontal="left" vertical="center"/>
      <protection locked="0"/>
    </xf>
    <xf numFmtId="0" fontId="99" fillId="0" borderId="0" xfId="0" applyFont="1">
      <alignment vertical="center"/>
    </xf>
    <xf numFmtId="0" fontId="0" fillId="5" borderId="0" xfId="0" applyFill="1">
      <alignment vertical="center"/>
    </xf>
    <xf numFmtId="0" fontId="101" fillId="5" borderId="0" xfId="0" applyFont="1" applyFill="1">
      <alignment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137" fillId="0" borderId="23" xfId="0" applyFont="1" applyBorder="1" applyAlignment="1" applyProtection="1">
      <alignment horizontal="right" vertical="center" wrapText="1"/>
      <protection locked="0"/>
    </xf>
    <xf numFmtId="0" fontId="47" fillId="6" borderId="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55" fillId="0" borderId="5" xfId="0" applyFont="1" applyFill="1" applyBorder="1" applyAlignment="1" applyProtection="1">
      <alignment vertical="top" wrapText="1"/>
      <protection locked="0"/>
    </xf>
    <xf numFmtId="0" fontId="256" fillId="0" borderId="156" xfId="0" applyNumberFormat="1" applyFont="1" applyFill="1" applyBorder="1" applyAlignment="1" applyProtection="1">
      <alignment vertical="top" wrapText="1"/>
      <protection locked="0"/>
    </xf>
    <xf numFmtId="0" fontId="256" fillId="0" borderId="1" xfId="0" applyNumberFormat="1" applyFont="1" applyFill="1" applyBorder="1" applyAlignment="1" applyProtection="1">
      <alignment vertical="top" wrapText="1"/>
      <protection locked="0"/>
    </xf>
    <xf numFmtId="0" fontId="256" fillId="0" borderId="157" xfId="0" applyNumberFormat="1" applyFont="1" applyFill="1" applyBorder="1" applyAlignment="1" applyProtection="1">
      <alignment vertical="top" wrapText="1"/>
      <protection locked="0"/>
    </xf>
    <xf numFmtId="0" fontId="137" fillId="0" borderId="51" xfId="0" applyNumberFormat="1" applyFont="1" applyFill="1" applyBorder="1" applyAlignment="1" applyProtection="1">
      <alignment horizontal="center" vertical="center" wrapText="1"/>
      <protection locked="0"/>
    </xf>
    <xf numFmtId="0" fontId="101" fillId="7" borderId="0" xfId="0" applyFont="1" applyFill="1">
      <alignmen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99" fillId="5" borderId="0" xfId="0" applyFont="1" applyFill="1">
      <alignment vertical="center"/>
    </xf>
    <xf numFmtId="0" fontId="98" fillId="0" borderId="5" xfId="0" applyFont="1" applyFill="1" applyBorder="1" applyAlignment="1" applyProtection="1">
      <alignment horizontal="center" vertical="center"/>
      <protection locked="0"/>
    </xf>
    <xf numFmtId="0" fontId="98" fillId="0" borderId="23"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114" fillId="5" borderId="0" xfId="0" applyFont="1" applyFill="1">
      <alignment vertical="center"/>
    </xf>
    <xf numFmtId="0" fontId="100" fillId="16" borderId="0" xfId="0" applyFont="1" applyFill="1">
      <alignment vertical="center"/>
    </xf>
    <xf numFmtId="176" fontId="108" fillId="16" borderId="1" xfId="0" applyNumberFormat="1" applyFont="1" applyFill="1" applyBorder="1" applyAlignment="1" applyProtection="1">
      <alignment vertical="center" wrapText="1"/>
      <protection locked="0"/>
    </xf>
    <xf numFmtId="176" fontId="108" fillId="16" borderId="1" xfId="0" applyNumberFormat="1" applyFont="1" applyFill="1" applyBorder="1" applyAlignment="1" applyProtection="1">
      <alignment horizontal="center" vertical="center" wrapText="1"/>
      <protection locked="0"/>
    </xf>
    <xf numFmtId="0" fontId="222" fillId="16" borderId="24" xfId="0" applyFont="1" applyFill="1" applyBorder="1" applyAlignment="1" applyProtection="1">
      <alignment vertical="center"/>
      <protection locked="0"/>
    </xf>
    <xf numFmtId="177" fontId="48" fillId="16" borderId="1" xfId="1" applyNumberFormat="1" applyFont="1" applyFill="1" applyBorder="1" applyAlignment="1" applyProtection="1">
      <alignment horizontal="center" vertical="center"/>
      <protection locked="0"/>
    </xf>
    <xf numFmtId="184" fontId="132" fillId="16" borderId="1" xfId="0" applyNumberFormat="1" applyFont="1" applyFill="1" applyBorder="1" applyAlignment="1" applyProtection="1">
      <alignment horizontal="center" vertical="center" shrinkToFit="1"/>
      <protection locked="0"/>
    </xf>
    <xf numFmtId="177" fontId="132" fillId="16" borderId="1" xfId="1" applyNumberFormat="1" applyFont="1" applyFill="1" applyBorder="1" applyAlignment="1" applyProtection="1">
      <alignment horizontal="center" vertical="center"/>
      <protection locked="0"/>
    </xf>
    <xf numFmtId="0" fontId="108" fillId="16" borderId="23" xfId="0" applyFont="1" applyFill="1" applyBorder="1" applyAlignment="1" applyProtection="1">
      <alignment horizontal="center" vertical="center"/>
      <protection locked="0"/>
    </xf>
    <xf numFmtId="0" fontId="108" fillId="16" borderId="61" xfId="1" applyNumberFormat="1" applyFont="1" applyFill="1" applyBorder="1" applyAlignment="1" applyProtection="1">
      <alignment horizontal="center" vertical="center"/>
      <protection locked="0"/>
    </xf>
    <xf numFmtId="0" fontId="108" fillId="16" borderId="49" xfId="1" applyNumberFormat="1" applyFont="1" applyFill="1" applyBorder="1" applyAlignment="1" applyProtection="1">
      <alignment horizontal="center" vertical="center"/>
      <protection locked="0"/>
    </xf>
    <xf numFmtId="0" fontId="108" fillId="16" borderId="3" xfId="0" applyFont="1" applyFill="1" applyBorder="1" applyAlignment="1" applyProtection="1">
      <alignment vertical="center"/>
      <protection locked="0"/>
    </xf>
    <xf numFmtId="0" fontId="108" fillId="16" borderId="5" xfId="1" applyFont="1" applyFill="1" applyBorder="1" applyAlignment="1" applyProtection="1">
      <alignment horizontal="right" vertical="center"/>
      <protection locked="0"/>
    </xf>
    <xf numFmtId="0" fontId="108" fillId="16" borderId="54" xfId="0" applyFont="1" applyFill="1" applyBorder="1" applyAlignment="1" applyProtection="1">
      <alignment vertical="center"/>
      <protection locked="0"/>
    </xf>
    <xf numFmtId="181" fontId="108" fillId="16" borderId="61" xfId="0" applyNumberFormat="1" applyFont="1" applyFill="1" applyBorder="1" applyAlignment="1" applyProtection="1">
      <alignment horizontal="center"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104" fillId="5" borderId="5" xfId="1" applyNumberFormat="1" applyFont="1" applyFill="1" applyBorder="1" applyAlignment="1" applyProtection="1">
      <alignment vertical="center"/>
      <protection locked="0"/>
    </xf>
    <xf numFmtId="181" fontId="105" fillId="7" borderId="1" xfId="0" applyNumberFormat="1" applyFont="1" applyFill="1" applyBorder="1" applyAlignment="1" applyProtection="1">
      <alignment horizontal="center" vertical="center"/>
      <protection locked="0"/>
    </xf>
    <xf numFmtId="0" fontId="50" fillId="0" borderId="23" xfId="0" applyFont="1" applyBorder="1" applyAlignment="1" applyProtection="1">
      <alignment horizontal="center" vertical="center"/>
      <protection locked="0"/>
    </xf>
    <xf numFmtId="177" fontId="50" fillId="5" borderId="1" xfId="1" applyNumberFormat="1" applyFont="1" applyFill="1" applyBorder="1" applyAlignment="1" applyProtection="1">
      <alignment horizontal="center" vertical="center"/>
      <protection locked="0"/>
    </xf>
    <xf numFmtId="10" fontId="50" fillId="5" borderId="1" xfId="1" applyNumberFormat="1" applyFont="1" applyFill="1" applyBorder="1" applyAlignment="1" applyProtection="1">
      <alignment horizontal="center" vertical="center"/>
      <protection locked="0"/>
    </xf>
    <xf numFmtId="10" fontId="47" fillId="5" borderId="1" xfId="1" applyNumberFormat="1" applyFont="1" applyFill="1" applyBorder="1" applyAlignment="1" applyProtection="1">
      <alignment horizontal="center" vertical="center"/>
      <protection locked="0"/>
    </xf>
    <xf numFmtId="177" fontId="47" fillId="5" borderId="1" xfId="1" applyNumberFormat="1" applyFont="1" applyFill="1" applyBorder="1" applyAlignment="1" applyProtection="1">
      <alignment horizontal="center"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9" fillId="0" borderId="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123824</xdr:colOff>
      <xdr:row>20</xdr:row>
      <xdr:rowOff>10696</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4238624" cy="3439696"/>
        </a:xfrm>
        <a:prstGeom prst="rect">
          <a:avLst/>
        </a:prstGeom>
      </xdr:spPr>
    </xdr:pic>
    <xdr:clientData/>
  </xdr:twoCellAnchor>
  <xdr:twoCellAnchor editAs="oneCell">
    <xdr:from>
      <xdr:col>6</xdr:col>
      <xdr:colOff>238125</xdr:colOff>
      <xdr:row>0</xdr:row>
      <xdr:rowOff>85725</xdr:rowOff>
    </xdr:from>
    <xdr:to>
      <xdr:col>13</xdr:col>
      <xdr:colOff>533401</xdr:colOff>
      <xdr:row>20</xdr:row>
      <xdr:rowOff>49586</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4352925" y="85725"/>
          <a:ext cx="5095876" cy="3392861"/>
        </a:xfrm>
        <a:prstGeom prst="rect">
          <a:avLst/>
        </a:prstGeom>
      </xdr:spPr>
    </xdr:pic>
    <xdr:clientData/>
  </xdr:twoCellAnchor>
  <xdr:twoCellAnchor editAs="oneCell">
    <xdr:from>
      <xdr:col>0</xdr:col>
      <xdr:colOff>38100</xdr:colOff>
      <xdr:row>21</xdr:row>
      <xdr:rowOff>123826</xdr:rowOff>
    </xdr:from>
    <xdr:to>
      <xdr:col>6</xdr:col>
      <xdr:colOff>333375</xdr:colOff>
      <xdr:row>36</xdr:row>
      <xdr:rowOff>167706</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38100" y="3724276"/>
          <a:ext cx="4410075" cy="2615630"/>
        </a:xfrm>
        <a:prstGeom prst="rect">
          <a:avLst/>
        </a:prstGeom>
      </xdr:spPr>
    </xdr:pic>
    <xdr:clientData/>
  </xdr:twoCellAnchor>
  <xdr:twoCellAnchor editAs="oneCell">
    <xdr:from>
      <xdr:col>0</xdr:col>
      <xdr:colOff>28575</xdr:colOff>
      <xdr:row>37</xdr:row>
      <xdr:rowOff>19050</xdr:rowOff>
    </xdr:from>
    <xdr:to>
      <xdr:col>5</xdr:col>
      <xdr:colOff>523385</xdr:colOff>
      <xdr:row>58</xdr:row>
      <xdr:rowOff>132886</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28575" y="6362700"/>
          <a:ext cx="3923810" cy="3714286"/>
        </a:xfrm>
        <a:prstGeom prst="rect">
          <a:avLst/>
        </a:prstGeom>
      </xdr:spPr>
    </xdr:pic>
    <xdr:clientData/>
  </xdr:twoCellAnchor>
  <xdr:twoCellAnchor editAs="oneCell">
    <xdr:from>
      <xdr:col>8</xdr:col>
      <xdr:colOff>0</xdr:colOff>
      <xdr:row>46</xdr:row>
      <xdr:rowOff>1</xdr:rowOff>
    </xdr:from>
    <xdr:to>
      <xdr:col>15</xdr:col>
      <xdr:colOff>190500</xdr:colOff>
      <xdr:row>63</xdr:row>
      <xdr:rowOff>78885</xdr:rowOff>
    </xdr:to>
    <xdr:pic>
      <xdr:nvPicPr>
        <xdr:cNvPr id="8" name="图片 7"/>
        <xdr:cNvPicPr>
          <a:picLocks noChangeAspect="1"/>
        </xdr:cNvPicPr>
      </xdr:nvPicPr>
      <xdr:blipFill>
        <a:blip xmlns:r="http://schemas.openxmlformats.org/officeDocument/2006/relationships" r:embed="rId5" cstate="print"/>
        <a:stretch>
          <a:fillRect/>
        </a:stretch>
      </xdr:blipFill>
      <xdr:spPr>
        <a:xfrm>
          <a:off x="5486400" y="7886701"/>
          <a:ext cx="4991100" cy="2993534"/>
        </a:xfrm>
        <a:prstGeom prst="rect">
          <a:avLst/>
        </a:prstGeom>
      </xdr:spPr>
    </xdr:pic>
    <xdr:clientData/>
  </xdr:twoCellAnchor>
  <xdr:twoCellAnchor editAs="oneCell">
    <xdr:from>
      <xdr:col>8</xdr:col>
      <xdr:colOff>1</xdr:colOff>
      <xdr:row>65</xdr:row>
      <xdr:rowOff>0</xdr:rowOff>
    </xdr:from>
    <xdr:to>
      <xdr:col>15</xdr:col>
      <xdr:colOff>190501</xdr:colOff>
      <xdr:row>82</xdr:row>
      <xdr:rowOff>55582</xdr:rowOff>
    </xdr:to>
    <xdr:pic>
      <xdr:nvPicPr>
        <xdr:cNvPr id="9" name="图片 8"/>
        <xdr:cNvPicPr>
          <a:picLocks noChangeAspect="1"/>
        </xdr:cNvPicPr>
      </xdr:nvPicPr>
      <xdr:blipFill>
        <a:blip xmlns:r="http://schemas.openxmlformats.org/officeDocument/2006/relationships" r:embed="rId6" cstate="print"/>
        <a:stretch>
          <a:fillRect/>
        </a:stretch>
      </xdr:blipFill>
      <xdr:spPr>
        <a:xfrm>
          <a:off x="5486401" y="11144250"/>
          <a:ext cx="4991100" cy="2970232"/>
        </a:xfrm>
        <a:prstGeom prst="rect">
          <a:avLst/>
        </a:prstGeom>
      </xdr:spPr>
    </xdr:pic>
    <xdr:clientData/>
  </xdr:twoCellAnchor>
  <xdr:twoCellAnchor editAs="oneCell">
    <xdr:from>
      <xdr:col>8</xdr:col>
      <xdr:colOff>133350</xdr:colOff>
      <xdr:row>27</xdr:row>
      <xdr:rowOff>47625</xdr:rowOff>
    </xdr:from>
    <xdr:to>
      <xdr:col>14</xdr:col>
      <xdr:colOff>542925</xdr:colOff>
      <xdr:row>43</xdr:row>
      <xdr:rowOff>87494</xdr:rowOff>
    </xdr:to>
    <xdr:pic>
      <xdr:nvPicPr>
        <xdr:cNvPr id="10" name="图片 9"/>
        <xdr:cNvPicPr>
          <a:picLocks noChangeAspect="1"/>
        </xdr:cNvPicPr>
      </xdr:nvPicPr>
      <xdr:blipFill>
        <a:blip xmlns:r="http://schemas.openxmlformats.org/officeDocument/2006/relationships" r:embed="rId7" cstate="print"/>
        <a:stretch>
          <a:fillRect/>
        </a:stretch>
      </xdr:blipFill>
      <xdr:spPr>
        <a:xfrm>
          <a:off x="5619750" y="4676775"/>
          <a:ext cx="4524375" cy="278306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4.bin"/><Relationship Id="rId1" Type="http://schemas.openxmlformats.org/officeDocument/2006/relationships/hyperlink" Target="javascript:top.main.DataEdit('37',16);" TargetMode="External"/><Relationship Id="rId4"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1" customWidth="1"/>
    <col min="2" max="2" width="81" style="1598" customWidth="1"/>
    <col min="3" max="16384" width="9" style="1596"/>
  </cols>
  <sheetData>
    <row r="1" spans="1:2" s="1584" customFormat="1" ht="16.5" thickBot="1">
      <c r="A1" s="1583" t="s">
        <v>1220</v>
      </c>
      <c r="B1" s="1582" t="s">
        <v>1299</v>
      </c>
    </row>
    <row r="2" spans="1:2" s="1587" customFormat="1" ht="15" thickTop="1">
      <c r="A2" s="1585" t="s">
        <v>1221</v>
      </c>
      <c r="B2" s="1586" t="str">
        <f>'预评函-封皮'!B37:I37</f>
        <v>山东省济南市高新区凤凰路以西、旅游路以南出让国有建设用地使用权及在建建筑物房地产抵押价值预评估</v>
      </c>
    </row>
    <row r="3" spans="1:2" s="1590" customFormat="1">
      <c r="A3" s="1588" t="s">
        <v>1222</v>
      </c>
      <c r="B3" s="1589" t="str">
        <f>'预评函-封皮'!B40</f>
        <v>济南三盛房地产开发有限公司</v>
      </c>
    </row>
    <row r="4" spans="1:2" s="1590" customFormat="1">
      <c r="A4" s="1588" t="s">
        <v>1223</v>
      </c>
      <c r="B4" s="1589" t="str">
        <f ca="1">'预评函-封皮'!B46</f>
        <v>郑燚（注册号：1120070131)、王鹏（注册号：1120050019)</v>
      </c>
    </row>
    <row r="5" spans="1:2" s="1584" customFormat="1" ht="15" thickBot="1">
      <c r="A5" s="1591" t="s">
        <v>1224</v>
      </c>
      <c r="B5" s="1592" t="str">
        <f>'预评函-封皮'!B49</f>
        <v>康正预评字号</v>
      </c>
    </row>
    <row r="6" spans="1:2" s="1587" customFormat="1" ht="15" thickTop="1">
      <c r="A6" s="1585" t="s">
        <v>1225</v>
      </c>
      <c r="B6" s="1586" t="str">
        <f>'预评函-1'!A4</f>
        <v>受贵公司委托，我公司对山东省济南市高新区凤凰路以西、旅游路以南出让国有建设用地使用权及在建建筑物房地产抵押价值进行了预评估。</v>
      </c>
    </row>
    <row r="7" spans="1:2" s="1590" customFormat="1">
      <c r="A7" s="1588" t="s">
        <v>1265</v>
      </c>
      <c r="B7" s="1589" t="str">
        <f>'预评函-1'!A7</f>
        <v>估价对象为山东省济南市高新区凤凰路以西、旅游路以南出让国有建设用地使用权及在建建筑物房地产，为济南三盛房地产开发有限公司所有。根据《国有土地使用证》[]，估价对象（分摊）出让国有建设用地使用权面积为21196.98平方米，建筑面积为67330.17平方米。</v>
      </c>
    </row>
    <row r="8" spans="1:2" s="1590" customFormat="1">
      <c r="A8" s="1588" t="s">
        <v>1266</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1267</v>
      </c>
      <c r="B9" s="1589" t="str">
        <f>'预评函-1'!A10</f>
        <v>估价对象为山东省济南市高新区凤凰路以西、旅游路以南出让国有建设用地使用权及在建建筑物房地产,属济南三盛房地产开发有限公司开发建设的，该项目尚在开发建设中。根据《国有土地使用证》[]，估价对象（分摊）出让国有建设用地使用权面积为21196.98平方米，规划建筑面积为67330.17平方米。</v>
      </c>
    </row>
    <row r="10" spans="1:2" s="1590" customFormat="1">
      <c r="A10" s="1588" t="s">
        <v>1268</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1226</v>
      </c>
      <c r="B11" s="1589" t="str">
        <f>'预评函-1'!A13</f>
        <v>为估价委托人在向国投信托有限公司办理贷款手续过程中，确定房地产抵押贷款额度提供参考依据而评估房地产抵押价值。</v>
      </c>
    </row>
    <row r="12" spans="1:2" s="1590" customFormat="1">
      <c r="A12" s="1588" t="s">
        <v>1227</v>
      </c>
      <c r="B12" s="1589" t="str">
        <f>'预评函-1'!A15</f>
        <v>2017年11月17日（评估专业人员实地查勘之日）</v>
      </c>
    </row>
    <row r="13" spans="1:2" s="1590" customFormat="1">
      <c r="A13" s="1588" t="s">
        <v>1228</v>
      </c>
      <c r="B13" s="1589" t="str">
        <f>'预评函-1'!A18</f>
        <v>本次估价的“房地产价值”是指在正常市场情况下，在价值时点2017年11月17日，估价对象规划用途为，土地取得方式为出让，出让国有建设用地使用权剩余土地使用年限为，假定未设立法定优先受偿款下的房地产市场价值。</v>
      </c>
    </row>
    <row r="14" spans="1:2" s="1590" customFormat="1">
      <c r="A14" s="1588" t="s">
        <v>1229</v>
      </c>
      <c r="B14" s="15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1230</v>
      </c>
      <c r="B15" s="1589" t="str">
        <f>'预评函-1'!A20</f>
        <v>本次估价的“抵押担保权已注销时的房地产抵押价值”是指估价对象在价值时点的“房地产价值”扣减估价师于价值时点所知悉的除抵押担保权以外的其他法定优先受偿款后的余额。</v>
      </c>
    </row>
    <row r="16" spans="1:2" s="1590" customFormat="1">
      <c r="A16" s="1588" t="s">
        <v>1231</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1232</v>
      </c>
      <c r="B17" s="1589" t="str">
        <f>'预评函-1'!A22</f>
        <v/>
      </c>
    </row>
    <row r="18" spans="1:2" s="1584" customFormat="1" ht="15" thickBot="1">
      <c r="A18" s="1591" t="s">
        <v>1233</v>
      </c>
      <c r="B18" s="1592" t="str">
        <f>'预评函-1'!A24</f>
        <v>本次评估采用的主估价方法为成本法和假设开发法。</v>
      </c>
    </row>
    <row r="19" spans="1:2" s="1587" customFormat="1" ht="15" thickTop="1">
      <c r="A19" s="1585" t="s">
        <v>1234</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1235</v>
      </c>
      <c r="B20" s="1589">
        <f ca="1">'预评函-2'!D5</f>
        <v>90613</v>
      </c>
    </row>
    <row r="21" spans="1:2" s="1590" customFormat="1">
      <c r="A21" s="1588" t="s">
        <v>1236</v>
      </c>
      <c r="B21" s="1589">
        <f ca="1">'预评函-2'!D7</f>
        <v>13458</v>
      </c>
    </row>
    <row r="22" spans="1:2" s="1590" customFormat="1">
      <c r="A22" s="1588" t="s">
        <v>1237</v>
      </c>
      <c r="B22" s="1589" t="str">
        <f ca="1">'预评函-2'!D6</f>
        <v>玖亿零陆佰壹拾叁万元整</v>
      </c>
    </row>
    <row r="23" spans="1:2" s="1590" customFormat="1">
      <c r="A23" s="1588" t="s">
        <v>1288</v>
      </c>
      <c r="B23" s="1589" t="str">
        <f>'预评函-2'!B8</f>
        <v>2.估价师知悉的除抵押担保权以外的法定优先受偿款</v>
      </c>
    </row>
    <row r="24" spans="1:2" s="1590" customFormat="1">
      <c r="A24" s="1588" t="s">
        <v>1294</v>
      </c>
      <c r="B24" s="1589">
        <f>'预评函-2'!D8</f>
        <v>0</v>
      </c>
    </row>
    <row r="25" spans="1:2" s="1590" customFormat="1">
      <c r="A25" s="1588" t="s">
        <v>1238</v>
      </c>
      <c r="B25" s="1589" t="str">
        <f>'预评函-2'!D9</f>
        <v>零元整</v>
      </c>
    </row>
    <row r="26" spans="1:2" s="1590" customFormat="1">
      <c r="A26" s="1588" t="s">
        <v>1239</v>
      </c>
      <c r="B26" s="1589">
        <f>'预评函-2'!D10</f>
        <v>0</v>
      </c>
    </row>
    <row r="27" spans="1:2" s="1590" customFormat="1">
      <c r="A27" s="1588" t="s">
        <v>1240</v>
      </c>
      <c r="B27" s="1589">
        <f>'预评函-2'!D11</f>
        <v>0</v>
      </c>
    </row>
    <row r="28" spans="1:2" s="1590" customFormat="1">
      <c r="A28" s="1588" t="s">
        <v>1241</v>
      </c>
      <c r="B28" s="1589">
        <f>'预评函-2'!D12</f>
        <v>0</v>
      </c>
    </row>
    <row r="29" spans="1:2" s="1590" customFormat="1">
      <c r="A29" s="1588" t="s">
        <v>1292</v>
      </c>
      <c r="B29" s="1589" t="str">
        <f>'预评函-2'!B13</f>
        <v>——</v>
      </c>
    </row>
    <row r="30" spans="1:2" s="1590" customFormat="1">
      <c r="A30" s="1588" t="s">
        <v>1293</v>
      </c>
      <c r="B30" s="1589" t="str">
        <f>'预评函-2'!D13</f>
        <v>——</v>
      </c>
    </row>
    <row r="31" spans="1:2" s="1590" customFormat="1">
      <c r="A31" s="1588" t="s">
        <v>1275</v>
      </c>
      <c r="B31" s="1589" t="e">
        <f>'预评函-2'!D15</f>
        <v>#VALUE!</v>
      </c>
    </row>
    <row r="32" spans="1:2" s="1590" customFormat="1">
      <c r="A32" s="1588" t="s">
        <v>1242</v>
      </c>
      <c r="B32" s="1589" t="e">
        <f>'预评函-2'!D14</f>
        <v>#VALUE!</v>
      </c>
    </row>
    <row r="33" spans="1:2" s="1590" customFormat="1">
      <c r="A33" s="1588" t="s">
        <v>1277</v>
      </c>
      <c r="B33" s="1589" t="str">
        <f>'预评函-2'!B16</f>
        <v>3.抵押担保权已注销时的房地产抵押价值</v>
      </c>
    </row>
    <row r="34" spans="1:2" s="1590" customFormat="1">
      <c r="A34" s="1588" t="s">
        <v>1295</v>
      </c>
      <c r="B34" s="1589">
        <f ca="1">'预评函-2'!D16</f>
        <v>90613</v>
      </c>
    </row>
    <row r="35" spans="1:2" s="1590" customFormat="1">
      <c r="A35" s="1588" t="s">
        <v>1276</v>
      </c>
      <c r="B35" s="1589">
        <f ca="1">'预评函-2'!D18</f>
        <v>13458</v>
      </c>
    </row>
    <row r="36" spans="1:2" s="1590" customFormat="1">
      <c r="A36" s="1588" t="s">
        <v>1243</v>
      </c>
      <c r="B36" s="1589" t="str">
        <f ca="1">'预评函-2'!D17</f>
        <v>玖亿零陆佰壹拾叁万元整</v>
      </c>
    </row>
    <row r="37" spans="1:2" s="1590" customFormat="1">
      <c r="A37" s="1588" t="s">
        <v>1278</v>
      </c>
      <c r="B37" s="1589" t="str">
        <f>'预评函-2'!B19</f>
        <v>——</v>
      </c>
    </row>
    <row r="38" spans="1:2" s="1590" customFormat="1">
      <c r="A38" s="1588" t="s">
        <v>1296</v>
      </c>
      <c r="B38" s="1589" t="str">
        <f>'预评函-2'!D19</f>
        <v>——</v>
      </c>
    </row>
    <row r="39" spans="1:2" s="1590" customFormat="1">
      <c r="A39" s="1588" t="s">
        <v>1244</v>
      </c>
      <c r="B39" s="1589" t="str">
        <f>'预评函-2'!D21</f>
        <v>——</v>
      </c>
    </row>
    <row r="40" spans="1:2" s="1590" customFormat="1">
      <c r="A40" s="1588" t="s">
        <v>1245</v>
      </c>
      <c r="B40" s="1589" t="e">
        <f>'预评函-2'!D20</f>
        <v>#VALUE!</v>
      </c>
    </row>
    <row r="41" spans="1:2" s="1590" customFormat="1">
      <c r="A41" s="1588" t="s">
        <v>1291</v>
      </c>
      <c r="B41" s="1589" t="str">
        <f>'预评函-3'!A4</f>
        <v>山东省济南市高新区凤凰路以西、旅游路以南出让国有建设用地使用权及在建建筑物房地产</v>
      </c>
    </row>
    <row r="42" spans="1:2" s="1590" customFormat="1">
      <c r="A42" s="1588" t="s">
        <v>1289</v>
      </c>
      <c r="B42" s="1589" t="str">
        <f>'预评函-3'!B2</f>
        <v>建筑面积</v>
      </c>
    </row>
    <row r="43" spans="1:2" s="1590" customFormat="1">
      <c r="A43" s="1588" t="s">
        <v>1290</v>
      </c>
      <c r="B43" s="1589">
        <f>'预评函-3'!B4</f>
        <v>67330.170000000013</v>
      </c>
    </row>
    <row r="44" spans="1:2" s="1590" customFormat="1">
      <c r="A44" s="1588" t="s">
        <v>1274</v>
      </c>
      <c r="B44" s="1589" t="str">
        <f>'预评函-3'!C2</f>
        <v>(分摊)土地面积</v>
      </c>
    </row>
    <row r="45" spans="1:2" s="1590" customFormat="1">
      <c r="A45" s="1588" t="s">
        <v>1246</v>
      </c>
      <c r="B45" s="1589">
        <f>'预评函-3'!C4</f>
        <v>21196.98</v>
      </c>
    </row>
    <row r="46" spans="1:2" s="1590" customFormat="1">
      <c r="A46" s="1588" t="s">
        <v>1272</v>
      </c>
      <c r="B46" s="1589" t="str">
        <f>'预评函-3'!D2</f>
        <v>出让国有建设用地使用权价值</v>
      </c>
    </row>
    <row r="47" spans="1:2" s="1590" customFormat="1">
      <c r="A47" s="1588" t="s">
        <v>1247</v>
      </c>
      <c r="B47" s="1589">
        <f ca="1">'预评函-3'!D4</f>
        <v>86898</v>
      </c>
    </row>
    <row r="48" spans="1:2" s="1590" customFormat="1">
      <c r="A48" s="1588" t="s">
        <v>1248</v>
      </c>
      <c r="B48" s="1589">
        <f ca="1">'预评函-3'!E4</f>
        <v>12906</v>
      </c>
    </row>
    <row r="49" spans="1:2" s="1590" customFormat="1">
      <c r="A49" s="1588" t="s">
        <v>1249</v>
      </c>
      <c r="B49" s="1589" t="str">
        <f ca="1">'预评函-3'!D5</f>
        <v>捌亿陆仟捌佰玖拾捌万元整</v>
      </c>
    </row>
    <row r="50" spans="1:2" s="1590" customFormat="1">
      <c r="A50" s="1588" t="s">
        <v>1273</v>
      </c>
      <c r="B50" s="1589" t="str">
        <f>'预评函-3'!F2</f>
        <v>在建建筑物价值</v>
      </c>
    </row>
    <row r="51" spans="1:2" s="1590" customFormat="1">
      <c r="A51" s="1588" t="s">
        <v>1250</v>
      </c>
      <c r="B51" s="1589">
        <f ca="1">'预评函-3'!F4</f>
        <v>3715</v>
      </c>
    </row>
    <row r="52" spans="1:2" s="1590" customFormat="1">
      <c r="A52" s="1588" t="s">
        <v>1251</v>
      </c>
      <c r="B52" s="1589">
        <f ca="1">'预评函-3'!G4</f>
        <v>552</v>
      </c>
    </row>
    <row r="53" spans="1:2" s="1590" customFormat="1">
      <c r="A53" s="1588" t="s">
        <v>1279</v>
      </c>
      <c r="B53" s="1589" t="str">
        <f ca="1">'预评函-3'!F5</f>
        <v>叁仟柒佰壹拾伍万元整</v>
      </c>
    </row>
    <row r="54" spans="1:2" s="1590" customFormat="1">
      <c r="A54" s="1588" t="s">
        <v>1297</v>
      </c>
      <c r="B54" s="1589" t="str">
        <f>'预评函-3'!A8</f>
        <v/>
      </c>
    </row>
    <row r="55" spans="1:2" s="1590" customFormat="1">
      <c r="A55" s="1588" t="s">
        <v>1280</v>
      </c>
      <c r="B55" s="1589" t="str">
        <f>'预评函-3'!A10</f>
        <v>抵押担保权已注销时的房地产抵押价值</v>
      </c>
    </row>
    <row r="56" spans="1:2" s="1590" customFormat="1">
      <c r="A56" s="1588" t="s">
        <v>1281</v>
      </c>
      <c r="B56" s="1589" t="str">
        <f>'预评函-3'!A12</f>
        <v/>
      </c>
    </row>
    <row r="57" spans="1:2" s="1584" customFormat="1" ht="15" thickBot="1">
      <c r="A57" s="1591" t="s">
        <v>1298</v>
      </c>
      <c r="B57" s="1592" t="str">
        <f>'预评函-3'!A6</f>
        <v>估价师知悉的除抵押担保权以外的法定优先受偿款</v>
      </c>
    </row>
    <row r="58" spans="1:2" s="1587" customFormat="1" ht="15" thickTop="1">
      <c r="A58" s="1585" t="s">
        <v>1252</v>
      </c>
      <c r="B58" s="1586" t="str">
        <f>'预评函-4'!A12</f>
        <v>2.本《评估意见函》仅供金融机构进行内部审核使用，不做其他目的之用。</v>
      </c>
    </row>
    <row r="59" spans="1:2" s="1590" customFormat="1">
      <c r="A59" s="1588" t="s">
        <v>1253</v>
      </c>
      <c r="B59" s="1589" t="str">
        <f>'预评函-4'!A13</f>
        <v>3.抵押双方在办理抵押登记手续时，应使用本公司出具的正式《房地产评估报告》，特提醒报告使用者注意。</v>
      </c>
    </row>
    <row r="60" spans="1:2" s="1590" customFormat="1">
      <c r="A60" s="1588" t="s">
        <v>1254</v>
      </c>
      <c r="B60" s="1589" t="str">
        <f>'预评函-4'!A14</f>
        <v>4.本次评估估价师所知悉的法定优先受偿款情况说明如下：</v>
      </c>
    </row>
    <row r="61" spans="1:2" s="1590" customFormat="1">
      <c r="A61" s="1588" t="s">
        <v>1255</v>
      </c>
      <c r="B61" s="15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1256</v>
      </c>
      <c r="B62" s="1589" t="str">
        <f>'预评函-4'!A16</f>
        <v>（2）根据《工程款支付情况说明》，截至价值时点，估价对象不存在应付未付工程款项。（只要没有施工方盖章的，均“设定”进行表述）</v>
      </c>
    </row>
    <row r="63" spans="1:2" s="1590" customFormat="1">
      <c r="A63" s="1588" t="s">
        <v>1257</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1269</v>
      </c>
      <c r="B64" s="1589" t="str">
        <f>'预评函-4'!A18</f>
        <v>故，本次评估不存在估价师知悉的除抵押担保权以外的法定优先受偿款</v>
      </c>
    </row>
    <row r="65" spans="1:2" s="1590" customFormat="1">
      <c r="A65" s="1588" t="s">
        <v>1258</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1259</v>
      </c>
      <c r="B66" s="15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0" customFormat="1">
      <c r="A67" s="1588" t="s">
        <v>1270</v>
      </c>
      <c r="B67" s="15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0" customFormat="1">
      <c r="A68" s="1588" t="s">
        <v>1271</v>
      </c>
      <c r="B68" s="1589" t="str">
        <f>'预评函-4'!A22</f>
        <v>8.其他需特殊说明事项：无（注意调整序号）</v>
      </c>
    </row>
    <row r="69" spans="1:2" s="1584" customFormat="1" ht="15" thickBot="1">
      <c r="A69" s="1591" t="s">
        <v>1260</v>
      </c>
      <c r="B69" s="1593">
        <f>'预评函-4'!C31</f>
        <v>42551</v>
      </c>
    </row>
    <row r="70" spans="1:2" ht="15" thickTop="1">
      <c r="A70" s="1594" t="s">
        <v>1261</v>
      </c>
      <c r="B70" s="1595" t="str">
        <f>'预评函-4'!A4</f>
        <v>郑燚</v>
      </c>
    </row>
    <row r="71" spans="1:2">
      <c r="A71" s="1588" t="s">
        <v>1262</v>
      </c>
      <c r="B71" s="1589">
        <f ca="1">'预评函-4'!B4</f>
        <v>1120070131</v>
      </c>
    </row>
    <row r="72" spans="1:2">
      <c r="A72" s="1588" t="s">
        <v>1263</v>
      </c>
      <c r="B72" s="1597" t="str">
        <f>'预评函-4'!A5</f>
        <v>王鹏</v>
      </c>
    </row>
    <row r="73" spans="1:2" s="1584" customFormat="1" ht="15" thickBot="1">
      <c r="A73" s="1591" t="s">
        <v>1264</v>
      </c>
      <c r="B73" s="1592">
        <f ca="1">'预评函-4'!B5</f>
        <v>1120050019</v>
      </c>
    </row>
    <row r="74" spans="1:2" ht="15" thickTop="1">
      <c r="A74" s="1581" t="s">
        <v>1300</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A20" sqref="AA20"/>
    </sheetView>
  </sheetViews>
  <sheetFormatPr defaultRowHeight="13.5"/>
  <cols>
    <col min="1" max="1" width="13.5" style="2021" customWidth="1"/>
    <col min="2" max="2" width="23.25" style="1972" customWidth="1"/>
    <col min="3" max="3" width="13" style="2016" hidden="1" customWidth="1"/>
    <col min="4" max="4" width="5.75" style="2013" hidden="1" customWidth="1"/>
    <col min="5" max="5" width="7.125" style="2013" hidden="1" customWidth="1"/>
    <col min="6" max="6" width="10.625" style="2013" hidden="1" customWidth="1"/>
    <col min="7" max="7" width="7.5" style="2013" hidden="1" customWidth="1"/>
    <col min="8" max="8" width="9" style="2016" hidden="1" customWidth="1"/>
    <col min="9" max="9" width="11.625" style="2016" hidden="1" customWidth="1"/>
    <col min="10" max="10" width="9" style="2016" hidden="1" customWidth="1"/>
    <col min="11" max="19" width="9" style="2013" hidden="1" customWidth="1"/>
    <col min="20" max="22" width="9" style="2016" hidden="1" customWidth="1"/>
    <col min="23" max="23" width="9" style="2016" customWidth="1"/>
    <col min="24" max="24" width="21.125" style="1972" customWidth="1"/>
    <col min="25" max="16384" width="9" style="1972"/>
  </cols>
  <sheetData>
    <row r="1" spans="1:23" s="2010" customFormat="1" ht="27">
      <c r="A1" s="2004" t="s">
        <v>71</v>
      </c>
      <c r="B1" s="2005" t="s">
        <v>1692</v>
      </c>
      <c r="C1" s="2006" t="s">
        <v>759</v>
      </c>
      <c r="D1" s="2007" t="s">
        <v>1693</v>
      </c>
      <c r="E1" s="2007" t="s">
        <v>1694</v>
      </c>
      <c r="F1" s="2007" t="s">
        <v>1695</v>
      </c>
      <c r="G1" s="2007" t="s">
        <v>1696</v>
      </c>
      <c r="H1" s="2007" t="s">
        <v>1697</v>
      </c>
      <c r="I1" s="2007" t="s">
        <v>1698</v>
      </c>
      <c r="J1" s="2007" t="s">
        <v>1699</v>
      </c>
      <c r="K1" s="2007" t="s">
        <v>1700</v>
      </c>
      <c r="L1" s="2007" t="s">
        <v>1701</v>
      </c>
      <c r="M1" s="2007" t="s">
        <v>1702</v>
      </c>
      <c r="N1" s="2007" t="s">
        <v>1703</v>
      </c>
      <c r="O1" s="2007" t="s">
        <v>1704</v>
      </c>
      <c r="P1" s="2008" t="s">
        <v>753</v>
      </c>
      <c r="Q1" s="2008" t="s">
        <v>1144</v>
      </c>
      <c r="R1" s="2007" t="s">
        <v>1138</v>
      </c>
      <c r="S1" s="2007" t="s">
        <v>1705</v>
      </c>
      <c r="T1" s="2009" t="s">
        <v>1706</v>
      </c>
      <c r="U1" s="2007" t="s">
        <v>1707</v>
      </c>
      <c r="V1" s="2007" t="s">
        <v>1708</v>
      </c>
      <c r="W1" s="2007" t="s">
        <v>755</v>
      </c>
    </row>
    <row r="2" spans="1:23">
      <c r="A2" s="2011" t="s">
        <v>22</v>
      </c>
      <c r="B2" s="2011" t="s">
        <v>1709</v>
      </c>
      <c r="C2" s="2012" t="s">
        <v>760</v>
      </c>
      <c r="D2" s="2013" t="s">
        <v>1710</v>
      </c>
      <c r="E2" s="2013" t="s">
        <v>1711</v>
      </c>
      <c r="F2" s="2013" t="s">
        <v>1712</v>
      </c>
      <c r="G2" s="2013">
        <v>40</v>
      </c>
      <c r="H2" s="2013" t="s">
        <v>1712</v>
      </c>
      <c r="I2" s="2013" t="s">
        <v>1713</v>
      </c>
      <c r="J2" s="2013" t="s">
        <v>1714</v>
      </c>
      <c r="K2" s="2013" t="s">
        <v>1715</v>
      </c>
      <c r="L2" s="2013" t="s">
        <v>1715</v>
      </c>
      <c r="M2" s="2013" t="s">
        <v>1715</v>
      </c>
      <c r="N2" s="2013" t="s">
        <v>1715</v>
      </c>
      <c r="O2" s="2013" t="s">
        <v>1715</v>
      </c>
      <c r="P2" s="2013" t="s">
        <v>1715</v>
      </c>
      <c r="Q2" s="2013" t="s">
        <v>1715</v>
      </c>
      <c r="R2" s="2013" t="s">
        <v>1140</v>
      </c>
      <c r="S2" s="2013" t="s">
        <v>1715</v>
      </c>
      <c r="T2" s="2013" t="s">
        <v>1716</v>
      </c>
      <c r="U2" s="2013" t="s">
        <v>1715</v>
      </c>
      <c r="V2" s="2013" t="s">
        <v>1717</v>
      </c>
      <c r="W2" s="2013" t="s">
        <v>1715</v>
      </c>
    </row>
    <row r="3" spans="1:23">
      <c r="A3" s="2011" t="s">
        <v>1718</v>
      </c>
      <c r="B3" s="2014" t="s">
        <v>1145</v>
      </c>
      <c r="C3" s="2015" t="s">
        <v>761</v>
      </c>
      <c r="D3" s="2013" t="s">
        <v>1719</v>
      </c>
      <c r="E3" s="2013" t="s">
        <v>16</v>
      </c>
      <c r="F3" s="2013" t="s">
        <v>1720</v>
      </c>
      <c r="G3" s="2013">
        <v>50</v>
      </c>
      <c r="H3" s="2013" t="s">
        <v>1720</v>
      </c>
      <c r="I3" s="2013" t="s">
        <v>1721</v>
      </c>
      <c r="J3" s="2013" t="s">
        <v>1722</v>
      </c>
      <c r="K3" s="2013" t="s">
        <v>1723</v>
      </c>
      <c r="L3" s="2013" t="s">
        <v>1723</v>
      </c>
      <c r="M3" s="2013" t="s">
        <v>1723</v>
      </c>
      <c r="N3" s="2013" t="s">
        <v>1723</v>
      </c>
      <c r="O3" s="2013" t="s">
        <v>1723</v>
      </c>
      <c r="P3" s="2013" t="s">
        <v>1723</v>
      </c>
      <c r="Q3" s="2013" t="s">
        <v>1723</v>
      </c>
      <c r="R3" s="2013" t="s">
        <v>1139</v>
      </c>
      <c r="S3" s="2013" t="s">
        <v>1723</v>
      </c>
      <c r="T3" s="2013" t="s">
        <v>1724</v>
      </c>
      <c r="U3" s="2013" t="s">
        <v>1723</v>
      </c>
      <c r="V3" s="2013" t="s">
        <v>1725</v>
      </c>
      <c r="W3" s="2013" t="s">
        <v>1723</v>
      </c>
    </row>
    <row r="4" spans="1:23">
      <c r="A4" s="2011" t="s">
        <v>1726</v>
      </c>
      <c r="B4" s="2011" t="s">
        <v>1727</v>
      </c>
      <c r="C4" s="2012" t="s">
        <v>762</v>
      </c>
      <c r="D4" s="2013" t="s">
        <v>868</v>
      </c>
      <c r="E4" s="2013" t="s">
        <v>1728</v>
      </c>
      <c r="F4" s="2013" t="s">
        <v>1729</v>
      </c>
      <c r="G4" s="2013">
        <v>70</v>
      </c>
      <c r="H4" s="2013" t="s">
        <v>1729</v>
      </c>
      <c r="I4" s="2013" t="s">
        <v>1730</v>
      </c>
      <c r="K4" s="2013" t="s">
        <v>1731</v>
      </c>
      <c r="L4" s="2013" t="s">
        <v>1731</v>
      </c>
      <c r="M4" s="2013" t="s">
        <v>1731</v>
      </c>
      <c r="N4" s="2013" t="s">
        <v>1731</v>
      </c>
      <c r="O4" s="2013" t="s">
        <v>1731</v>
      </c>
      <c r="P4" s="2013" t="s">
        <v>1731</v>
      </c>
      <c r="Q4" s="2013" t="s">
        <v>1731</v>
      </c>
      <c r="R4" s="2013" t="s">
        <v>1141</v>
      </c>
      <c r="S4" s="2013" t="s">
        <v>1731</v>
      </c>
      <c r="T4" s="2013" t="s">
        <v>1732</v>
      </c>
      <c r="U4" s="2013" t="s">
        <v>1731</v>
      </c>
      <c r="W4" s="2013" t="s">
        <v>1731</v>
      </c>
    </row>
    <row r="5" spans="1:23">
      <c r="A5" s="2011" t="s">
        <v>1733</v>
      </c>
      <c r="B5" s="2011" t="s">
        <v>1734</v>
      </c>
      <c r="C5" s="2012" t="s">
        <v>763</v>
      </c>
      <c r="F5" s="2013" t="s">
        <v>1735</v>
      </c>
      <c r="H5" s="2013" t="s">
        <v>1736</v>
      </c>
      <c r="I5" s="2013" t="s">
        <v>1737</v>
      </c>
      <c r="K5" s="2013" t="s">
        <v>1738</v>
      </c>
      <c r="L5" s="2013" t="s">
        <v>1738</v>
      </c>
      <c r="M5" s="2013" t="s">
        <v>1738</v>
      </c>
      <c r="N5" s="2013" t="s">
        <v>1738</v>
      </c>
      <c r="O5" s="2013" t="s">
        <v>1738</v>
      </c>
      <c r="P5" s="2013" t="s">
        <v>1738</v>
      </c>
      <c r="Q5" s="2013" t="s">
        <v>1738</v>
      </c>
      <c r="R5" s="2013" t="s">
        <v>1142</v>
      </c>
      <c r="S5" s="2013" t="s">
        <v>1738</v>
      </c>
      <c r="T5" s="2013" t="s">
        <v>1739</v>
      </c>
      <c r="U5" s="2013" t="s">
        <v>1738</v>
      </c>
      <c r="W5" s="2013" t="s">
        <v>1738</v>
      </c>
    </row>
    <row r="6" spans="1:23">
      <c r="A6" s="2011" t="s">
        <v>1740</v>
      </c>
      <c r="B6" s="2014" t="s">
        <v>1146</v>
      </c>
      <c r="C6" s="2017" t="s">
        <v>30</v>
      </c>
      <c r="F6" s="2013" t="s">
        <v>1736</v>
      </c>
      <c r="H6" s="2013" t="s">
        <v>1741</v>
      </c>
      <c r="I6" s="2013" t="s">
        <v>1742</v>
      </c>
      <c r="K6" s="2013" t="s">
        <v>1743</v>
      </c>
      <c r="L6" s="2013" t="s">
        <v>1743</v>
      </c>
      <c r="M6" s="2013" t="s">
        <v>1743</v>
      </c>
      <c r="N6" s="2013" t="s">
        <v>1743</v>
      </c>
      <c r="O6" s="2013" t="s">
        <v>1743</v>
      </c>
      <c r="P6" s="2013" t="s">
        <v>1743</v>
      </c>
      <c r="Q6" s="2013" t="s">
        <v>1743</v>
      </c>
      <c r="R6" s="2013" t="s">
        <v>1143</v>
      </c>
      <c r="S6" s="2013" t="s">
        <v>1743</v>
      </c>
      <c r="T6" s="2013"/>
      <c r="U6" s="2013" t="s">
        <v>1743</v>
      </c>
      <c r="W6" s="2013" t="s">
        <v>1743</v>
      </c>
    </row>
    <row r="7" spans="1:23">
      <c r="A7" s="2011" t="s">
        <v>1744</v>
      </c>
      <c r="B7" s="2014" t="s">
        <v>1147</v>
      </c>
      <c r="C7" s="2012" t="s">
        <v>31</v>
      </c>
      <c r="F7" s="2013" t="s">
        <v>1745</v>
      </c>
      <c r="H7" s="2013" t="s">
        <v>1746</v>
      </c>
      <c r="I7" s="2013" t="s">
        <v>1747</v>
      </c>
    </row>
    <row r="8" spans="1:23">
      <c r="A8" s="2011" t="s">
        <v>1748</v>
      </c>
      <c r="B8" s="2011" t="s">
        <v>1749</v>
      </c>
      <c r="C8" s="2012" t="s">
        <v>764</v>
      </c>
      <c r="F8" s="2013" t="s">
        <v>1750</v>
      </c>
      <c r="H8" s="2013"/>
      <c r="I8" s="2013" t="s">
        <v>1751</v>
      </c>
    </row>
    <row r="9" spans="1:23">
      <c r="A9" s="2011" t="s">
        <v>1752</v>
      </c>
      <c r="B9" s="2011" t="s">
        <v>1753</v>
      </c>
      <c r="C9" s="2012" t="s">
        <v>765</v>
      </c>
      <c r="F9" s="2013" t="s">
        <v>1754</v>
      </c>
      <c r="H9" s="2013"/>
    </row>
    <row r="10" spans="1:23">
      <c r="A10" s="2011" t="s">
        <v>1755</v>
      </c>
      <c r="B10" s="2011" t="s">
        <v>1756</v>
      </c>
      <c r="C10" s="2012" t="s">
        <v>766</v>
      </c>
      <c r="F10" s="2013" t="s">
        <v>16</v>
      </c>
    </row>
    <row r="11" spans="1:23">
      <c r="A11" s="2011" t="s">
        <v>1757</v>
      </c>
      <c r="B11" s="2011" t="s">
        <v>1758</v>
      </c>
      <c r="C11" s="2012" t="s">
        <v>767</v>
      </c>
    </row>
    <row r="12" spans="1:23">
      <c r="A12" s="2011" t="s">
        <v>1759</v>
      </c>
      <c r="B12" s="2011" t="s">
        <v>1760</v>
      </c>
      <c r="C12" s="2012" t="s">
        <v>768</v>
      </c>
    </row>
    <row r="13" spans="1:23">
      <c r="A13" s="2011" t="s">
        <v>1761</v>
      </c>
      <c r="B13" s="2011" t="s">
        <v>1762</v>
      </c>
      <c r="C13" s="2012" t="s">
        <v>769</v>
      </c>
    </row>
    <row r="14" spans="1:23">
      <c r="A14" s="2011" t="s">
        <v>1763</v>
      </c>
      <c r="B14" s="2011" t="s">
        <v>1764</v>
      </c>
      <c r="C14" s="2013" t="s">
        <v>16</v>
      </c>
    </row>
    <row r="15" spans="1:23">
      <c r="A15" s="2011" t="s">
        <v>1765</v>
      </c>
      <c r="B15" s="2011" t="s">
        <v>1766</v>
      </c>
      <c r="C15" s="2012"/>
    </row>
    <row r="16" spans="1:23">
      <c r="A16" s="2011" t="s">
        <v>1767</v>
      </c>
      <c r="B16" s="2011" t="s">
        <v>756</v>
      </c>
      <c r="C16" s="2012"/>
    </row>
    <row r="17" spans="1:3">
      <c r="A17" s="2011" t="s">
        <v>1768</v>
      </c>
      <c r="B17" s="2011" t="s">
        <v>3178</v>
      </c>
      <c r="C17" s="2012"/>
    </row>
    <row r="18" spans="1:3">
      <c r="A18" s="2011" t="s">
        <v>1769</v>
      </c>
      <c r="B18" s="2011" t="s">
        <v>3196</v>
      </c>
      <c r="C18" s="2012"/>
    </row>
    <row r="19" spans="1:3">
      <c r="A19" s="2011" t="s">
        <v>1770</v>
      </c>
      <c r="B19" s="2011" t="s">
        <v>757</v>
      </c>
      <c r="C19" s="2012"/>
    </row>
    <row r="20" spans="1:3">
      <c r="A20" s="2011" t="s">
        <v>1771</v>
      </c>
      <c r="B20" s="2011" t="s">
        <v>757</v>
      </c>
      <c r="C20" s="2012"/>
    </row>
    <row r="21" spans="1:3">
      <c r="A21" s="2011" t="s">
        <v>1772</v>
      </c>
      <c r="B21" s="2011" t="s">
        <v>757</v>
      </c>
      <c r="C21" s="2012"/>
    </row>
    <row r="22" spans="1:3">
      <c r="A22" s="2011" t="s">
        <v>1773</v>
      </c>
      <c r="B22" s="2011" t="s">
        <v>757</v>
      </c>
      <c r="C22" s="2012"/>
    </row>
    <row r="23" spans="1:3">
      <c r="A23" s="2011" t="s">
        <v>1774</v>
      </c>
      <c r="B23" s="2011" t="s">
        <v>757</v>
      </c>
      <c r="C23" s="2012"/>
    </row>
    <row r="24" spans="1:3">
      <c r="A24" s="2011" t="s">
        <v>1775</v>
      </c>
      <c r="B24" s="2011" t="s">
        <v>757</v>
      </c>
      <c r="C24" s="2012"/>
    </row>
    <row r="25" spans="1:3">
      <c r="A25" s="2011" t="s">
        <v>1776</v>
      </c>
      <c r="B25" s="2011" t="s">
        <v>757</v>
      </c>
      <c r="C25" s="2012"/>
    </row>
    <row r="26" spans="1:3">
      <c r="A26" s="2011" t="s">
        <v>1777</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857</v>
      </c>
      <c r="B51" s="2019" t="str">
        <f>"为估价委托人在向"&amp;项目基本情况!B6&amp;"办理贷款手续过程中，确定房地产抵押贷款额度提供参考依据而评估房地产抵押价值。"</f>
        <v>为估价委托人在向国投信托有限公司办理贷款手续过程中，确定房地产抵押贷款额度提供参考依据而评估房地产抵押价值。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济南三盛房地产开发有限公司拟使用山东省济南市高新区凤凰路以西、旅游路以南出让国有建设用地使用权及在建建筑物房地产作为抵押担保物，向国投信托有限公司办理贷款手续。国投信托有限公司特委托北京康正宏基房地产评估有限公司对上述抵押物进行评估。本次评估为确定房地产抵押贷款额度提供参考依据而评估房地产抵押价值。</v>
      </c>
      <c r="D51" s="2019" t="s">
        <v>1285</v>
      </c>
    </row>
    <row r="52" spans="1:4">
      <c r="A52" s="2018" t="s">
        <v>858</v>
      </c>
      <c r="B52" s="2018" t="s">
        <v>859</v>
      </c>
      <c r="C52" s="2016" t="s">
        <v>860</v>
      </c>
      <c r="D52" s="2016" t="s">
        <v>861</v>
      </c>
    </row>
    <row r="53" spans="1:4">
      <c r="A53" s="3035" t="s">
        <v>862</v>
      </c>
      <c r="B53" s="2019" t="s">
        <v>863</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5"/>
      <c r="B54" s="2019" t="s">
        <v>864</v>
      </c>
      <c r="C54" s="2016" t="s">
        <v>1282</v>
      </c>
    </row>
    <row r="55" spans="1:4">
      <c r="A55" s="3035"/>
      <c r="B55" s="2019" t="s">
        <v>865</v>
      </c>
      <c r="C55" s="2016" t="s">
        <v>1283</v>
      </c>
    </row>
    <row r="56" spans="1:4">
      <c r="A56" s="3035"/>
      <c r="B56" s="2019" t="s">
        <v>866</v>
      </c>
      <c r="C56" s="2016" t="s">
        <v>1287</v>
      </c>
    </row>
    <row r="57" spans="1:4">
      <c r="A57" s="3035"/>
      <c r="B57" s="2019" t="s">
        <v>867</v>
      </c>
      <c r="C57" s="2016" t="s">
        <v>1284</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H13" sqref="H13:H14"/>
    </sheetView>
  </sheetViews>
  <sheetFormatPr defaultColWidth="10" defaultRowHeight="18" customHeight="1"/>
  <cols>
    <col min="1" max="1" width="14.875" style="2029" customWidth="1"/>
    <col min="2" max="2" width="12.625" style="2029" customWidth="1"/>
    <col min="3" max="3" width="11.5" style="2029" customWidth="1"/>
    <col min="4" max="4" width="19.125" style="2029" customWidth="1"/>
    <col min="5" max="6" width="10" style="2029" customWidth="1"/>
    <col min="7" max="7" width="10.75" style="2029" customWidth="1"/>
    <col min="8" max="8" width="10" style="2029" customWidth="1"/>
    <col min="9" max="9" width="11.125" style="2152" customWidth="1"/>
    <col min="10" max="10" width="10" style="2029" customWidth="1"/>
    <col min="11" max="11" width="10" style="2153" customWidth="1"/>
    <col min="12" max="13" width="10" style="2154" customWidth="1"/>
    <col min="14" max="14" width="10" style="2029" customWidth="1"/>
    <col min="15" max="15" width="10" style="2152" customWidth="1"/>
    <col min="16" max="17" width="10" style="2029"/>
    <col min="18" max="18" width="10" style="2029" customWidth="1"/>
    <col min="19" max="16384" width="10" style="2029"/>
  </cols>
  <sheetData>
    <row r="1" spans="1:19" ht="38.25" customHeight="1" thickBot="1">
      <c r="A1" s="2022" t="s">
        <v>1778</v>
      </c>
      <c r="B1" s="3036" t="str">
        <f>IF(B10="北京市","北京市",C10)&amp;F10&amp;IF(结果表!G1="在建","出让国有建设用地使用权及在建建筑物",IF(结果表!G1="土地","出让国有建设用地使用权",))&amp;B9&amp;"预评估"</f>
        <v>山东省济南市高新区凤凰路以西、旅游路以南出让国有建设用地使用权及在建建筑物房地产抵押价值预评估</v>
      </c>
      <c r="C1" s="3037"/>
      <c r="D1" s="3037"/>
      <c r="E1" s="3037"/>
      <c r="F1" s="3037"/>
      <c r="G1" s="3037"/>
      <c r="H1" s="3037"/>
      <c r="I1" s="3038"/>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山东省济南市高新区凤凰路以西、旅游路以南出让国有建设用地使用权及在建建筑物房地产抵押价值</v>
      </c>
    </row>
    <row r="2" spans="1:19" ht="18" customHeight="1">
      <c r="A2" s="2023" t="s">
        <v>1779</v>
      </c>
      <c r="B2" s="1037"/>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山东省济南市高新区凤凰路以西、旅游路以南出让国有建设用地使用权及在建建筑物房地产</v>
      </c>
    </row>
    <row r="3" spans="1:19" ht="18" customHeight="1">
      <c r="A3" s="2032" t="s">
        <v>1780</v>
      </c>
      <c r="B3" s="2033">
        <v>43056</v>
      </c>
      <c r="C3" s="2034" t="s">
        <v>1781</v>
      </c>
      <c r="D3" s="2033">
        <f>B3</f>
        <v>43056</v>
      </c>
      <c r="E3" s="2023"/>
      <c r="F3" s="2023"/>
      <c r="G3" s="2023"/>
      <c r="H3" s="2023"/>
      <c r="I3" s="2023"/>
      <c r="J3" s="2023"/>
      <c r="K3" s="2024"/>
      <c r="L3" s="2025"/>
      <c r="M3" s="2025"/>
      <c r="N3" s="2026"/>
      <c r="O3" s="2027"/>
      <c r="P3" s="2026"/>
      <c r="Q3" s="2026"/>
      <c r="R3" s="2026"/>
      <c r="S3" s="2028"/>
    </row>
    <row r="4" spans="1:19" ht="18" customHeight="1" thickBot="1">
      <c r="A4" s="2035" t="s">
        <v>1782</v>
      </c>
      <c r="B4" s="2036" t="s">
        <v>3046</v>
      </c>
      <c r="C4" s="1035">
        <f ca="1">SUMIF(注册房地产估价师,B4,估价师及机构信息!B3:B24)</f>
        <v>1120070131</v>
      </c>
      <c r="D4" s="2036" t="s">
        <v>3047</v>
      </c>
      <c r="E4" s="1036">
        <f ca="1">SUMIF(注册房地产估价师,D4,估价师及机构信息!B3:B24)</f>
        <v>1120050019</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郑燚（注册号：1120070131)、王鹏（注册号：1120050019)</v>
      </c>
      <c r="L4" s="2025"/>
      <c r="M4" s="2025"/>
      <c r="N4" s="2026"/>
      <c r="O4" s="2027"/>
      <c r="P4" s="2026"/>
      <c r="Q4" s="2026"/>
      <c r="R4" s="2026"/>
      <c r="S4" s="2028"/>
    </row>
    <row r="5" spans="1:19" ht="18" customHeight="1" thickTop="1">
      <c r="A5" s="2041" t="s">
        <v>1783</v>
      </c>
      <c r="B5" s="2918" t="s">
        <v>3048</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thickBot="1">
      <c r="A6" s="2044" t="s">
        <v>1784</v>
      </c>
      <c r="B6" s="2919" t="s">
        <v>3049</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thickTop="1">
      <c r="A7" s="2044" t="s">
        <v>1785</v>
      </c>
      <c r="B7" s="2918" t="s">
        <v>3048</v>
      </c>
      <c r="C7" s="2045"/>
      <c r="D7" s="2046"/>
      <c r="E7" s="2031"/>
      <c r="F7" s="2039"/>
      <c r="G7" s="2039"/>
      <c r="H7" s="2039"/>
      <c r="I7" s="2039"/>
      <c r="J7" s="2039"/>
      <c r="K7" s="2048"/>
      <c r="L7" s="2025"/>
      <c r="M7" s="2025"/>
      <c r="N7" s="2026"/>
      <c r="O7" s="2027"/>
      <c r="P7" s="2026"/>
      <c r="Q7" s="2026"/>
      <c r="R7" s="2026"/>
    </row>
    <row r="8" spans="1:19" ht="18" customHeight="1">
      <c r="A8" s="2044" t="s">
        <v>1786</v>
      </c>
      <c r="B8" s="2049" t="s">
        <v>3050</v>
      </c>
      <c r="C8" s="2050"/>
      <c r="D8" s="3039" t="s">
        <v>1787</v>
      </c>
      <c r="E8" s="2051" t="s">
        <v>3184</v>
      </c>
      <c r="F8" s="2052"/>
      <c r="G8" s="2023"/>
      <c r="H8" s="2023"/>
      <c r="I8" s="2023"/>
      <c r="J8" s="2039"/>
      <c r="K8" s="2040"/>
      <c r="L8" s="2025"/>
      <c r="M8" s="2025"/>
      <c r="N8" s="2026"/>
      <c r="O8" s="2027"/>
      <c r="P8" s="2026"/>
      <c r="Q8" s="2026"/>
      <c r="R8" s="2026"/>
    </row>
    <row r="9" spans="1:19" ht="18" customHeight="1" thickBot="1">
      <c r="A9" s="2037" t="s">
        <v>1788</v>
      </c>
      <c r="B9" s="2053" t="s">
        <v>3051</v>
      </c>
      <c r="C9" s="2054"/>
      <c r="D9" s="3040"/>
      <c r="E9" s="2053" t="s">
        <v>70</v>
      </c>
      <c r="F9" s="2055"/>
      <c r="G9" s="2056"/>
      <c r="H9" s="2056"/>
      <c r="I9" s="2056"/>
      <c r="J9" s="2039"/>
      <c r="K9" s="2048"/>
      <c r="L9" s="2025"/>
      <c r="M9" s="2025"/>
      <c r="N9" s="2026"/>
      <c r="O9" s="2027"/>
      <c r="P9" s="2026"/>
      <c r="Q9" s="2026"/>
      <c r="R9" s="2026"/>
    </row>
    <row r="10" spans="1:19" ht="18" customHeight="1" thickTop="1">
      <c r="A10" s="2057" t="s">
        <v>1789</v>
      </c>
      <c r="B10" s="2058" t="s">
        <v>3052</v>
      </c>
      <c r="C10" s="2920" t="s">
        <v>3055</v>
      </c>
      <c r="D10" s="2043"/>
      <c r="E10" s="2059" t="s">
        <v>1790</v>
      </c>
      <c r="F10" s="2921" t="s">
        <v>3056</v>
      </c>
      <c r="G10" s="2060"/>
      <c r="H10" s="2061"/>
      <c r="I10" s="2043"/>
      <c r="J10" s="2039"/>
      <c r="K10" s="2048"/>
      <c r="L10" s="2025"/>
      <c r="M10" s="2025"/>
      <c r="N10" s="2026"/>
      <c r="O10" s="2027"/>
      <c r="P10" s="2026"/>
      <c r="Q10" s="2026"/>
      <c r="R10" s="2026"/>
    </row>
    <row r="11" spans="1:19" ht="18" customHeight="1">
      <c r="A11" s="2062" t="s">
        <v>1791</v>
      </c>
      <c r="B11" s="2063" t="s">
        <v>3053</v>
      </c>
      <c r="C11" s="2064" t="str">
        <f>B7</f>
        <v>济南三盛房地产开发有限公司</v>
      </c>
      <c r="D11" s="2065"/>
      <c r="E11" s="2039"/>
      <c r="F11" s="2039"/>
      <c r="G11" s="2039"/>
      <c r="H11" s="2039"/>
      <c r="I11" s="2039"/>
      <c r="J11" s="2039"/>
      <c r="K11" s="2048"/>
      <c r="L11" s="2025"/>
      <c r="M11" s="2025"/>
      <c r="N11" s="2026"/>
      <c r="O11" s="2027"/>
      <c r="P11" s="2026"/>
      <c r="Q11" s="2026"/>
      <c r="R11" s="2026"/>
    </row>
    <row r="12" spans="1:19" ht="18" customHeight="1">
      <c r="A12" s="2066" t="s">
        <v>1792</v>
      </c>
      <c r="B12" s="2063" t="s">
        <v>3054</v>
      </c>
      <c r="C12" s="2067" t="s">
        <v>1793</v>
      </c>
      <c r="D12" s="2068" t="s">
        <v>1794</v>
      </c>
      <c r="E12" s="2068" t="s">
        <v>1795</v>
      </c>
      <c r="F12" s="2068" t="s">
        <v>1796</v>
      </c>
      <c r="G12" s="2068" t="s">
        <v>1797</v>
      </c>
      <c r="H12" s="2068" t="s">
        <v>1798</v>
      </c>
      <c r="I12" s="2068" t="s">
        <v>1799</v>
      </c>
      <c r="J12" s="2039"/>
      <c r="K12" s="2048"/>
      <c r="L12" s="2025"/>
      <c r="M12" s="2025"/>
      <c r="N12" s="2026"/>
      <c r="O12" s="2027"/>
      <c r="P12" s="2026"/>
      <c r="Q12" s="2026"/>
      <c r="R12" s="2026"/>
    </row>
    <row r="13" spans="1:19" ht="18" customHeight="1">
      <c r="A13" s="2069"/>
      <c r="B13" s="2070"/>
      <c r="C13" s="2071" t="s">
        <v>1800</v>
      </c>
      <c r="D13" s="2072">
        <v>67818</v>
      </c>
      <c r="E13" s="2072">
        <v>56860</v>
      </c>
      <c r="F13" s="2072"/>
      <c r="G13" s="2072">
        <v>56860</v>
      </c>
      <c r="H13" s="2967">
        <v>56860</v>
      </c>
      <c r="I13" s="1045"/>
      <c r="J13" s="2039"/>
      <c r="K13" s="2048"/>
      <c r="L13" s="2025"/>
      <c r="M13" s="2025"/>
      <c r="N13" s="2026"/>
      <c r="O13" s="2027"/>
      <c r="P13" s="2026"/>
      <c r="Q13" s="2026"/>
      <c r="R13" s="2026"/>
    </row>
    <row r="14" spans="1:19" ht="18" customHeight="1">
      <c r="A14" s="2069"/>
      <c r="B14" s="2070"/>
      <c r="C14" s="2071" t="s">
        <v>1801</v>
      </c>
      <c r="D14" s="1048">
        <v>70</v>
      </c>
      <c r="E14" s="1048">
        <v>40</v>
      </c>
      <c r="F14" s="1048"/>
      <c r="G14" s="2966">
        <v>40</v>
      </c>
      <c r="H14" s="2968">
        <v>40</v>
      </c>
      <c r="I14" s="1048"/>
      <c r="J14" s="2039"/>
      <c r="K14" s="2073"/>
      <c r="L14" s="2025"/>
      <c r="M14" s="2025"/>
      <c r="N14" s="2026"/>
      <c r="O14" s="2027"/>
      <c r="P14" s="2026"/>
      <c r="Q14" s="2026"/>
      <c r="R14" s="2026"/>
    </row>
    <row r="15" spans="1:19" ht="18" customHeight="1">
      <c r="A15" s="2057"/>
      <c r="B15" s="2074"/>
      <c r="C15" s="2071" t="s">
        <v>1802</v>
      </c>
      <c r="D15" s="1047">
        <f>IF(B12="出让",IF(D13="","",ROUNDDOWN(MIN((D13-$D$3)/365,D14),2)),D14)</f>
        <v>67.84</v>
      </c>
      <c r="E15" s="1047">
        <f>IF(B12="出让",IF(E13="","",ROUNDDOWN(MIN((E13-$D$3)/365,E14),2)),E14)</f>
        <v>37.81</v>
      </c>
      <c r="F15" s="1047" t="str">
        <f>IF(B12="出让",IF(F13="","",ROUNDDOWN(MIN((F13-$D$3)/365,F14),2)),F14)</f>
        <v/>
      </c>
      <c r="G15" s="1047">
        <f>IF(B12="出让",IF(G13="","",ROUNDDOWN(MIN((G13-$D$3)/365,G14),2)),G14)</f>
        <v>37.81</v>
      </c>
      <c r="H15" s="1047">
        <f>IF(B12="出让",IF(H13="","",ROUNDDOWN(MIN((H13-$D$3)/365,H14),2)),H14)</f>
        <v>37.81</v>
      </c>
      <c r="I15" s="1047" t="str">
        <f>IF(B12="出让",IF(I13="","",ROUNDDOWN(MIN((I13-$D$3)/365,I14),2)),I14)</f>
        <v/>
      </c>
      <c r="J15" s="2039"/>
      <c r="K15" s="2075"/>
      <c r="L15" s="2076"/>
      <c r="M15" s="2076"/>
      <c r="N15" s="2077"/>
      <c r="O15" s="2076"/>
      <c r="P15" s="2077"/>
      <c r="Q15" s="2026"/>
      <c r="R15" s="2026"/>
    </row>
    <row r="16" spans="1:19" ht="30.75" customHeight="1">
      <c r="A16" s="2059" t="s">
        <v>1803</v>
      </c>
      <c r="B16" s="3046"/>
      <c r="C16" s="3047"/>
      <c r="D16" s="3048"/>
      <c r="E16" s="2078" t="s">
        <v>1804</v>
      </c>
      <c r="F16" s="3049"/>
      <c r="G16" s="3050"/>
      <c r="H16" s="3050"/>
      <c r="I16" s="3051"/>
      <c r="J16" s="2026"/>
      <c r="K16" s="2075"/>
      <c r="L16" s="2076"/>
      <c r="M16" s="2076"/>
      <c r="N16" s="2077"/>
      <c r="O16" s="2076"/>
      <c r="P16" s="2077"/>
      <c r="Q16" s="2026"/>
      <c r="R16" s="2026"/>
    </row>
    <row r="17" spans="1:22" ht="18" customHeight="1">
      <c r="A17" s="2079" t="s">
        <v>1805</v>
      </c>
      <c r="B17" s="2032" t="s">
        <v>1806</v>
      </c>
      <c r="C17" s="1052">
        <f>'数据-汇总表'!E3</f>
        <v>67330.170000000013</v>
      </c>
      <c r="D17" s="2080" t="s">
        <v>1807</v>
      </c>
      <c r="E17" s="3052" t="s">
        <v>1808</v>
      </c>
      <c r="F17" s="3053"/>
      <c r="G17" s="3053"/>
      <c r="H17" s="3053"/>
      <c r="I17" s="3054"/>
      <c r="J17" s="2026"/>
      <c r="K17" s="2081"/>
      <c r="L17" s="2076"/>
      <c r="M17" s="2076"/>
      <c r="N17" s="2077"/>
      <c r="O17" s="2076"/>
      <c r="P17" s="2077"/>
      <c r="Q17" s="2026"/>
      <c r="R17" s="2026"/>
      <c r="S17" s="2026"/>
      <c r="T17" s="2026"/>
      <c r="U17" s="2026"/>
      <c r="V17" s="2026"/>
    </row>
    <row r="18" spans="1:22" ht="36" customHeight="1" thickBot="1">
      <c r="A18" s="2082" t="s">
        <v>1809</v>
      </c>
      <c r="B18" s="2035" t="s">
        <v>1810</v>
      </c>
      <c r="C18" s="1441">
        <f>'数据-汇总表'!D3</f>
        <v>21196.98</v>
      </c>
      <c r="D18" s="2083" t="s">
        <v>1807</v>
      </c>
      <c r="E18" s="3055" t="s">
        <v>1811</v>
      </c>
      <c r="F18" s="3056"/>
      <c r="G18" s="3056"/>
      <c r="H18" s="3056"/>
      <c r="I18" s="3057"/>
      <c r="J18" s="2026"/>
      <c r="K18" s="2081"/>
      <c r="L18" s="2076"/>
      <c r="M18" s="2076"/>
      <c r="N18" s="2077"/>
      <c r="O18" s="2076"/>
      <c r="P18" s="2077"/>
      <c r="Q18" s="2026"/>
      <c r="R18" s="2026"/>
      <c r="S18" s="2026"/>
      <c r="T18" s="2026"/>
      <c r="U18" s="2026"/>
      <c r="V18" s="2026"/>
    </row>
    <row r="19" spans="1:22" ht="37.5" customHeight="1" thickTop="1" thickBot="1">
      <c r="A19" s="371" t="s">
        <v>1812</v>
      </c>
      <c r="B19" s="350" t="s">
        <v>1813</v>
      </c>
      <c r="C19" s="2084"/>
      <c r="D19" s="2085" t="s">
        <v>1814</v>
      </c>
      <c r="E19" s="2086"/>
      <c r="F19" s="2087" t="str">
        <f>IF(AND(C19="是",E19="否"),"是否提供他项权证或相关说明","")</f>
        <v/>
      </c>
      <c r="G19" s="2088"/>
      <c r="H19" s="2039"/>
      <c r="I19" s="2039"/>
      <c r="J19" s="2039"/>
      <c r="K19" s="2048"/>
      <c r="L19" s="2025"/>
      <c r="M19" s="2025"/>
      <c r="N19" s="2077"/>
      <c r="O19" s="2076"/>
      <c r="P19" s="2077"/>
      <c r="Q19" s="2026"/>
      <c r="R19" s="2026"/>
      <c r="S19" s="2026"/>
      <c r="T19" s="2026"/>
      <c r="U19" s="2026"/>
      <c r="V19" s="2026"/>
    </row>
    <row r="20" spans="1:22" ht="18" customHeight="1">
      <c r="A20" s="2089" t="s">
        <v>1815</v>
      </c>
      <c r="B20" s="3042" t="s">
        <v>1816</v>
      </c>
      <c r="C20" s="3043"/>
      <c r="D20" s="3044" t="s">
        <v>1817</v>
      </c>
      <c r="E20" s="3045"/>
      <c r="F20" s="2090" t="s">
        <v>1818</v>
      </c>
      <c r="G20" s="2039"/>
      <c r="H20" s="2039"/>
      <c r="I20" s="2039"/>
      <c r="J20" s="2039"/>
      <c r="K20" s="3041" t="s">
        <v>1819</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5"/>
      <c r="N20" s="2077"/>
      <c r="O20" s="2076"/>
      <c r="P20" s="2077"/>
      <c r="Q20" s="2026"/>
      <c r="R20" s="2026"/>
      <c r="S20" s="2026"/>
      <c r="T20" s="2026"/>
      <c r="U20" s="2026"/>
      <c r="V20" s="2026"/>
    </row>
    <row r="21" spans="1:22" ht="24.75" customHeight="1">
      <c r="A21" s="2089"/>
      <c r="B21" s="2091" t="s">
        <v>1820</v>
      </c>
      <c r="C21" s="2092" t="s">
        <v>1821</v>
      </c>
      <c r="D21" s="2093" t="s">
        <v>1822</v>
      </c>
      <c r="E21" s="2094" t="s">
        <v>1821</v>
      </c>
      <c r="F21" s="2095"/>
      <c r="G21" s="2039"/>
      <c r="H21" s="2039"/>
      <c r="I21" s="2039"/>
      <c r="J21" s="2039"/>
      <c r="K21" s="3041"/>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77"/>
      <c r="O21" s="2076"/>
      <c r="P21" s="2077"/>
      <c r="Q21" s="2026"/>
      <c r="R21" s="2026"/>
      <c r="S21" s="2026"/>
      <c r="T21" s="2026"/>
      <c r="U21" s="2026"/>
      <c r="V21" s="2026"/>
    </row>
    <row r="22" spans="1:22" ht="24.75" customHeight="1" thickBot="1">
      <c r="A22" s="2089"/>
      <c r="B22" s="2096" t="s">
        <v>1823</v>
      </c>
      <c r="C22" s="2092" t="s">
        <v>1824</v>
      </c>
      <c r="D22" s="2023"/>
      <c r="E22" s="2023"/>
      <c r="F22" s="2097"/>
      <c r="G22" s="2039"/>
      <c r="H22" s="2039"/>
      <c r="I22" s="2039"/>
      <c r="J22" s="2039"/>
      <c r="K22" s="3041"/>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7"/>
      <c r="O22" s="2076"/>
      <c r="P22" s="2077"/>
      <c r="Q22" s="2026"/>
      <c r="R22" s="2026"/>
      <c r="S22" s="2026"/>
      <c r="T22" s="2026"/>
      <c r="U22" s="2026"/>
      <c r="V22" s="2026"/>
    </row>
    <row r="23" spans="1:22" ht="18" customHeight="1">
      <c r="A23" s="2098" t="s">
        <v>1825</v>
      </c>
      <c r="B23" s="181" t="s">
        <v>1826</v>
      </c>
      <c r="C23" s="2099"/>
      <c r="D23" s="2100" t="s">
        <v>1826</v>
      </c>
      <c r="E23" s="2101"/>
      <c r="F23" s="2097"/>
      <c r="G23" s="2039"/>
      <c r="H23" s="2039"/>
      <c r="I23" s="2039"/>
      <c r="J23" s="2039"/>
      <c r="K23" s="2102"/>
      <c r="L23" s="745"/>
      <c r="M23" s="2025"/>
      <c r="N23" s="2077"/>
      <c r="O23" s="2076"/>
      <c r="P23" s="2077"/>
      <c r="Q23" s="2026"/>
      <c r="R23" s="2026"/>
      <c r="S23" s="2026"/>
      <c r="T23" s="2026"/>
      <c r="U23" s="2026"/>
      <c r="V23" s="2026"/>
    </row>
    <row r="24" spans="1:22" ht="18" customHeight="1">
      <c r="A24" s="2103"/>
      <c r="B24" s="181" t="s">
        <v>1827</v>
      </c>
      <c r="C24" s="2104"/>
      <c r="D24" s="2098" t="s">
        <v>1827</v>
      </c>
      <c r="E24" s="2105"/>
      <c r="F24" s="2097"/>
      <c r="G24" s="2039"/>
      <c r="H24" s="2039"/>
      <c r="I24" s="2039"/>
      <c r="J24" s="2039"/>
      <c r="K24" s="2102"/>
      <c r="L24" s="745"/>
      <c r="M24" s="2025"/>
      <c r="N24" s="2077"/>
      <c r="O24" s="2076"/>
      <c r="P24" s="2077"/>
      <c r="Q24" s="2026"/>
      <c r="R24" s="2026"/>
      <c r="S24" s="2026"/>
      <c r="T24" s="2026"/>
      <c r="U24" s="2026"/>
      <c r="V24" s="2026"/>
    </row>
    <row r="25" spans="1:22" ht="18" customHeight="1">
      <c r="A25" s="2103"/>
      <c r="B25" s="181" t="s">
        <v>1828</v>
      </c>
      <c r="C25" s="2104"/>
      <c r="D25" s="2098" t="s">
        <v>1828</v>
      </c>
      <c r="E25" s="2105"/>
      <c r="F25" s="2097"/>
      <c r="G25" s="2039"/>
      <c r="H25" s="2039"/>
      <c r="I25" s="2039"/>
      <c r="J25" s="2039"/>
      <c r="K25" s="2048"/>
      <c r="L25" s="2025"/>
      <c r="M25" s="2025"/>
      <c r="N25" s="2077"/>
      <c r="O25" s="2076"/>
      <c r="P25" s="2077"/>
      <c r="Q25" s="2026"/>
      <c r="R25" s="2026"/>
      <c r="S25" s="2026"/>
      <c r="T25" s="2026"/>
      <c r="U25" s="2026"/>
      <c r="V25" s="2026"/>
    </row>
    <row r="26" spans="1:22" ht="18" customHeight="1" thickBot="1">
      <c r="A26" s="2106"/>
      <c r="B26" s="2107" t="s">
        <v>1829</v>
      </c>
      <c r="C26" s="2108"/>
      <c r="D26" s="2109" t="s">
        <v>1830</v>
      </c>
      <c r="E26" s="2110"/>
      <c r="F26" s="2111"/>
      <c r="G26" s="2056"/>
      <c r="H26" s="2056"/>
      <c r="I26" s="2056"/>
      <c r="J26" s="2039"/>
      <c r="K26" s="2048"/>
      <c r="L26" s="2025"/>
      <c r="M26" s="2025"/>
      <c r="N26" s="2077"/>
      <c r="O26" s="2076"/>
      <c r="P26" s="2077"/>
      <c r="Q26" s="2026"/>
      <c r="R26" s="2026"/>
      <c r="S26" s="2026"/>
      <c r="T26" s="2026"/>
      <c r="U26" s="2026"/>
      <c r="V26" s="2026"/>
    </row>
    <row r="27" spans="1:22" ht="18" customHeight="1" thickTop="1">
      <c r="A27" s="3059" t="s">
        <v>1831</v>
      </c>
      <c r="B27" s="2057" t="s">
        <v>1832</v>
      </c>
      <c r="C27" s="2112"/>
      <c r="D27" s="2113"/>
      <c r="E27" s="2039"/>
      <c r="F27" s="2039"/>
      <c r="G27" s="2039"/>
      <c r="H27" s="2039"/>
      <c r="I27" s="2039"/>
      <c r="J27" s="2026"/>
      <c r="K27" s="2075"/>
      <c r="L27" s="2076"/>
      <c r="M27" s="2076"/>
      <c r="N27" s="2077"/>
      <c r="O27" s="2076"/>
      <c r="P27" s="2077"/>
      <c r="Q27" s="2026"/>
      <c r="R27" s="2026"/>
      <c r="S27" s="2026"/>
      <c r="T27" s="2026"/>
      <c r="U27" s="2026"/>
      <c r="V27" s="2026"/>
    </row>
    <row r="28" spans="1:22" ht="18" customHeight="1">
      <c r="A28" s="3059"/>
      <c r="B28" s="2032" t="s">
        <v>1833</v>
      </c>
      <c r="C28" s="2114"/>
      <c r="D28" s="2115"/>
      <c r="E28" s="2039"/>
      <c r="F28" s="2039"/>
      <c r="G28" s="2039"/>
      <c r="H28" s="2039"/>
      <c r="I28" s="2039"/>
      <c r="J28" s="2026"/>
      <c r="K28" s="2116"/>
      <c r="L28" s="2025"/>
      <c r="M28" s="2025"/>
      <c r="N28" s="2026"/>
      <c r="O28" s="2027"/>
      <c r="P28" s="2026"/>
      <c r="Q28" s="2026"/>
      <c r="R28" s="2026"/>
      <c r="S28" s="2026"/>
      <c r="T28" s="2026"/>
      <c r="U28" s="2026"/>
      <c r="V28" s="2026"/>
    </row>
    <row r="29" spans="1:22" ht="18" customHeight="1">
      <c r="A29" s="3059"/>
      <c r="B29" s="2032" t="s">
        <v>1834</v>
      </c>
      <c r="C29" s="2117"/>
      <c r="D29" s="2118"/>
      <c r="E29" s="2039"/>
      <c r="F29" s="2039"/>
      <c r="G29" s="2039"/>
      <c r="H29" s="2039"/>
      <c r="I29" s="2039"/>
      <c r="J29" s="2026"/>
      <c r="K29" s="2116"/>
      <c r="L29" s="2025"/>
      <c r="M29" s="2025"/>
      <c r="N29" s="2026"/>
      <c r="O29" s="2027"/>
      <c r="P29" s="2026"/>
      <c r="Q29" s="2026"/>
      <c r="R29" s="2026"/>
      <c r="S29" s="2026"/>
      <c r="T29" s="2026"/>
      <c r="U29" s="2026"/>
      <c r="V29" s="2026"/>
    </row>
    <row r="30" spans="1:22" ht="18" customHeight="1">
      <c r="A30" s="3060"/>
      <c r="B30" s="2032" t="s">
        <v>1835</v>
      </c>
      <c r="C30" s="3061"/>
      <c r="D30" s="3062"/>
      <c r="E30" s="2039"/>
      <c r="F30" s="2039"/>
      <c r="G30" s="2039"/>
      <c r="H30" s="2039"/>
      <c r="I30" s="2039"/>
      <c r="J30" s="2026"/>
      <c r="K30" s="2116"/>
      <c r="L30" s="2025"/>
      <c r="M30" s="2025"/>
      <c r="N30" s="2026"/>
      <c r="O30" s="2027"/>
      <c r="P30" s="2026"/>
      <c r="Q30" s="2026"/>
      <c r="R30" s="2026"/>
      <c r="S30" s="2026"/>
      <c r="T30" s="2026"/>
      <c r="U30" s="2026"/>
      <c r="V30" s="2026"/>
    </row>
    <row r="31" spans="1:22" ht="18" customHeight="1">
      <c r="A31" s="3063" t="s">
        <v>1836</v>
      </c>
      <c r="B31" s="2119"/>
      <c r="C31" s="2120" t="str">
        <f>IF(B31="现房","成新及维护状况正常否",IF(B31="在建","工程状态是否正常",IF(B31="土地","是否闲置","-")))</f>
        <v>-</v>
      </c>
      <c r="D31" s="2121"/>
      <c r="E31" s="2122"/>
      <c r="F31" s="2039"/>
      <c r="G31" s="2039"/>
      <c r="H31" s="2039"/>
      <c r="I31" s="2039"/>
      <c r="J31" s="2039"/>
      <c r="K31" s="2047"/>
      <c r="L31" s="2025"/>
      <c r="M31" s="2025"/>
      <c r="N31" s="2026"/>
      <c r="O31" s="2027"/>
      <c r="P31" s="2026"/>
      <c r="Q31" s="2026"/>
      <c r="R31" s="2026"/>
      <c r="S31" s="2026"/>
      <c r="T31" s="2026"/>
      <c r="U31" s="2026"/>
      <c r="V31" s="2026"/>
    </row>
    <row r="32" spans="1:22" ht="18" customHeight="1">
      <c r="A32" s="3064"/>
      <c r="B32" s="2119"/>
      <c r="C32" s="2120" t="str">
        <f>IF(B32="现房","成新及维护状况是否正常",IF(B32="在建","工程状态是否正常",IF(B32="土地","是否闲置","-")))</f>
        <v>-</v>
      </c>
      <c r="D32" s="2121"/>
      <c r="E32" s="2122"/>
      <c r="F32" s="2039"/>
      <c r="G32" s="2039"/>
      <c r="H32" s="2039"/>
      <c r="I32" s="2039"/>
      <c r="J32" s="2039"/>
      <c r="K32" s="2048"/>
      <c r="L32" s="2025"/>
      <c r="M32" s="2025"/>
      <c r="N32" s="2026"/>
      <c r="O32" s="2027"/>
      <c r="P32" s="2026"/>
      <c r="Q32" s="2026"/>
      <c r="R32" s="2026"/>
      <c r="S32" s="2026"/>
      <c r="T32" s="2026"/>
      <c r="U32" s="2026"/>
      <c r="V32" s="2026"/>
    </row>
    <row r="33" spans="1:22" ht="18" customHeight="1">
      <c r="A33" s="3064"/>
      <c r="B33" s="2123"/>
      <c r="C33" s="2062" t="str">
        <f>IF(B33="现房","成新及维护状况是否正常",IF(B33="在建","工程状态是否正常",IF(B33="土地","是否闲置","-")))</f>
        <v>-</v>
      </c>
      <c r="D33" s="2124"/>
      <c r="E33" s="2125"/>
      <c r="F33" s="2039"/>
      <c r="G33" s="2039"/>
      <c r="H33" s="2039"/>
      <c r="I33" s="2039"/>
      <c r="J33" s="2039"/>
      <c r="K33" s="2048"/>
      <c r="L33" s="2025"/>
      <c r="M33" s="2025"/>
      <c r="N33" s="2026"/>
      <c r="O33" s="2027"/>
      <c r="P33" s="2026"/>
      <c r="Q33" s="2026"/>
      <c r="R33" s="2026"/>
      <c r="S33" s="2026"/>
      <c r="T33" s="2026"/>
      <c r="U33" s="2026"/>
      <c r="V33" s="2026"/>
    </row>
    <row r="34" spans="1:22" ht="18" customHeight="1">
      <c r="A34" s="2032" t="s">
        <v>1837</v>
      </c>
      <c r="B34" s="2126"/>
      <c r="C34" s="2126"/>
      <c r="D34" s="2126"/>
      <c r="E34" s="2126"/>
      <c r="F34" s="2126"/>
      <c r="G34" s="2126"/>
      <c r="H34" s="2126"/>
      <c r="I34" s="2039"/>
      <c r="J34" s="2039"/>
      <c r="K34" s="1792">
        <f>COUNTIF(B34:H34,"——")</f>
        <v>0</v>
      </c>
      <c r="L34" s="2067" t="s">
        <v>1838</v>
      </c>
      <c r="M34" s="2067" t="s">
        <v>1839</v>
      </c>
      <c r="N34" s="2067" t="s">
        <v>1840</v>
      </c>
      <c r="O34" s="2067" t="s">
        <v>1841</v>
      </c>
      <c r="P34" s="2067" t="s">
        <v>1842</v>
      </c>
      <c r="Q34" s="2067" t="s">
        <v>1843</v>
      </c>
      <c r="R34" s="2067" t="s">
        <v>1844</v>
      </c>
      <c r="S34" s="3058" t="s">
        <v>1845</v>
      </c>
      <c r="T34" s="2127" t="str">
        <f>NUMBERSTRING(7-K34,1)&amp;"通"</f>
        <v>七通</v>
      </c>
      <c r="U34" s="2026"/>
      <c r="V34" s="2026"/>
    </row>
    <row r="35" spans="1:22" ht="18" customHeight="1">
      <c r="A35" s="2128"/>
      <c r="B35" s="3065" t="s">
        <v>1846</v>
      </c>
      <c r="C35" s="3065"/>
      <c r="D35" s="3065"/>
      <c r="E35" s="3065"/>
      <c r="F35" s="2129" t="str">
        <f>C10</f>
        <v>山东省济南市</v>
      </c>
      <c r="G35" s="2039"/>
      <c r="H35" s="2039"/>
      <c r="I35" s="2039"/>
      <c r="J35" s="2039"/>
      <c r="K35" s="2067"/>
      <c r="L35" s="206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8"/>
      <c r="T35" s="48" t="str">
        <f>IF(T34="一通",L35,IF(T34="二通",M35,IF(T34="三通",N35,IF(T34="四通",O35,IF(T34="五通",P35,IF(T34="六通",Q35,R35))))))</f>
        <v>、、、、、、</v>
      </c>
      <c r="U35" s="2026"/>
      <c r="V35" s="2026"/>
    </row>
    <row r="36" spans="1:22" ht="18" customHeight="1">
      <c r="A36" s="2130"/>
      <c r="B36" s="2129" t="s">
        <v>1847</v>
      </c>
      <c r="C36" s="2129" t="s">
        <v>1848</v>
      </c>
      <c r="D36" s="2129" t="s">
        <v>1849</v>
      </c>
      <c r="E36" s="2129" t="s">
        <v>1850</v>
      </c>
      <c r="F36" s="2131"/>
      <c r="G36" s="2039"/>
      <c r="H36" s="2039"/>
      <c r="I36" s="2039"/>
      <c r="J36" s="2039"/>
      <c r="K36" s="2048"/>
      <c r="L36" s="2025"/>
      <c r="M36" s="2025"/>
      <c r="N36" s="2026"/>
      <c r="O36" s="2027"/>
      <c r="P36" s="2026"/>
      <c r="Q36" s="2026"/>
      <c r="R36" s="2026"/>
      <c r="S36" s="2026"/>
      <c r="T36" s="2026"/>
      <c r="U36" s="2026"/>
      <c r="V36" s="2026"/>
    </row>
    <row r="37" spans="1:22" ht="18" customHeight="1">
      <c r="A37" s="2132" t="s">
        <v>1851</v>
      </c>
      <c r="B37" s="2133"/>
      <c r="C37" s="2133"/>
      <c r="D37" s="2133"/>
      <c r="E37" s="2133"/>
      <c r="F37" s="2131"/>
      <c r="G37" s="2039"/>
      <c r="H37" s="2039"/>
      <c r="I37" s="2039"/>
      <c r="J37" s="2039"/>
      <c r="K37" s="2048"/>
      <c r="L37" s="2025"/>
      <c r="M37" s="2025"/>
      <c r="N37" s="2026"/>
      <c r="O37" s="2027"/>
      <c r="P37" s="2026"/>
      <c r="Q37" s="2026"/>
      <c r="R37" s="2026"/>
      <c r="S37" s="2026"/>
      <c r="T37" s="2026"/>
      <c r="U37" s="2026"/>
      <c r="V37" s="2026"/>
    </row>
    <row r="38" spans="1:22" ht="18" customHeight="1" thickBot="1">
      <c r="A38" s="2134" t="s">
        <v>1852</v>
      </c>
      <c r="B38" s="2135"/>
      <c r="C38" s="2135"/>
      <c r="D38" s="2135"/>
      <c r="E38" s="2135"/>
      <c r="F38" s="2136"/>
      <c r="G38" s="2056"/>
      <c r="H38" s="2056"/>
      <c r="I38" s="2056"/>
      <c r="J38" s="2039"/>
      <c r="K38" s="2048"/>
      <c r="L38" s="2025"/>
      <c r="M38" s="2025"/>
      <c r="N38" s="2026"/>
      <c r="O38" s="2027"/>
      <c r="P38" s="2026"/>
      <c r="Q38" s="2026"/>
      <c r="R38" s="2026"/>
      <c r="S38" s="2026"/>
      <c r="T38" s="2026"/>
      <c r="U38" s="2026"/>
      <c r="V38" s="2026"/>
    </row>
    <row r="39" spans="1:22" s="2141" customFormat="1" ht="18" customHeight="1" thickTop="1" thickBot="1">
      <c r="A39" s="2137" t="s">
        <v>1853</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6"/>
      <c r="B40" s="2026"/>
      <c r="C40" s="2026"/>
      <c r="D40" s="2026"/>
      <c r="E40" s="2026"/>
      <c r="F40" s="2026"/>
      <c r="G40" s="2026"/>
      <c r="H40" s="2026"/>
      <c r="I40" s="2142"/>
      <c r="J40" s="2077"/>
      <c r="K40" s="664"/>
      <c r="L40" s="2076"/>
      <c r="M40" s="2076"/>
      <c r="N40" s="2077"/>
      <c r="O40" s="2076"/>
      <c r="P40" s="2026"/>
      <c r="Q40" s="2026"/>
      <c r="R40" s="2026"/>
      <c r="S40" s="2026"/>
      <c r="T40" s="2026"/>
      <c r="U40" s="2026"/>
      <c r="V40" s="2026"/>
    </row>
    <row r="41" spans="1:22" ht="18" customHeight="1">
      <c r="A41" s="8" t="s">
        <v>1854</v>
      </c>
      <c r="B41" s="2143"/>
      <c r="C41" s="2144"/>
      <c r="D41" s="2026"/>
      <c r="E41" s="2026"/>
      <c r="F41" s="2026"/>
      <c r="G41" s="2026"/>
      <c r="H41" s="2026"/>
      <c r="I41" s="2027"/>
      <c r="J41" s="2026"/>
      <c r="K41" s="2116"/>
      <c r="L41" s="2025"/>
      <c r="M41" s="2025"/>
      <c r="N41" s="2026"/>
      <c r="O41" s="2027"/>
      <c r="P41" s="2026"/>
      <c r="Q41" s="2026"/>
      <c r="R41" s="2026"/>
      <c r="S41" s="2026"/>
      <c r="T41" s="2026"/>
      <c r="U41" s="2026"/>
      <c r="V41" s="2026"/>
    </row>
    <row r="42" spans="1:22" ht="18" customHeight="1">
      <c r="A42" s="2067" t="s">
        <v>1855</v>
      </c>
      <c r="B42" s="1792" t="s">
        <v>1856</v>
      </c>
      <c r="C42" s="1792" t="s">
        <v>1857</v>
      </c>
      <c r="D42" s="1792" t="s">
        <v>1858</v>
      </c>
      <c r="E42" s="1792" t="s">
        <v>1859</v>
      </c>
      <c r="F42" s="1792" t="s">
        <v>1860</v>
      </c>
      <c r="G42" s="1792" t="s">
        <v>1861</v>
      </c>
      <c r="H42" s="1792" t="s">
        <v>1862</v>
      </c>
      <c r="I42" s="1792" t="s">
        <v>1863</v>
      </c>
      <c r="J42" s="2145" t="s">
        <v>1864</v>
      </c>
      <c r="K42" s="2068" t="s">
        <v>1865</v>
      </c>
      <c r="L42" s="2068" t="s">
        <v>1866</v>
      </c>
      <c r="M42" s="2068" t="s">
        <v>1867</v>
      </c>
      <c r="N42" s="1792" t="s">
        <v>1868</v>
      </c>
      <c r="O42" s="1792" t="s">
        <v>1869</v>
      </c>
      <c r="P42" s="1792" t="s">
        <v>1870</v>
      </c>
      <c r="Q42" s="2067" t="s">
        <v>1871</v>
      </c>
      <c r="R42" s="2067" t="s">
        <v>1872</v>
      </c>
      <c r="S42" s="2026"/>
      <c r="T42" s="2026"/>
      <c r="U42" s="2026"/>
      <c r="V42" s="2026"/>
    </row>
    <row r="43" spans="1:22" s="2150" customFormat="1" ht="18" customHeight="1">
      <c r="A43" s="2146"/>
      <c r="B43" s="1270"/>
      <c r="C43" s="1270"/>
      <c r="D43" s="1270"/>
      <c r="E43" s="1270"/>
      <c r="F43" s="1270"/>
      <c r="G43" s="1270"/>
      <c r="H43" s="9"/>
      <c r="I43" s="9"/>
      <c r="J43" s="2147"/>
      <c r="K43" s="2148"/>
      <c r="L43" s="2148"/>
      <c r="M43" s="9"/>
      <c r="N43" s="1270"/>
      <c r="O43" s="9"/>
      <c r="P43" s="1270"/>
      <c r="Q43" s="1270"/>
      <c r="R43" s="1270"/>
      <c r="S43" s="2149"/>
      <c r="T43" s="2149"/>
      <c r="U43" s="2149"/>
      <c r="V43" s="2149"/>
    </row>
    <row r="44" spans="1:22" s="2150" customFormat="1" ht="18" customHeight="1">
      <c r="A44" s="2146"/>
      <c r="B44" s="2146"/>
      <c r="C44" s="1270"/>
      <c r="D44" s="1270"/>
      <c r="E44" s="1270"/>
      <c r="F44" s="1270"/>
      <c r="G44" s="1270"/>
      <c r="H44" s="9"/>
      <c r="I44" s="9"/>
      <c r="J44" s="2147"/>
      <c r="K44" s="2148"/>
      <c r="L44" s="2148"/>
      <c r="M44" s="9"/>
      <c r="N44" s="1270"/>
      <c r="O44" s="9"/>
      <c r="P44" s="1270"/>
      <c r="Q44" s="1270"/>
      <c r="R44" s="1270"/>
      <c r="S44" s="2149"/>
      <c r="T44" s="2149"/>
      <c r="U44" s="2149"/>
      <c r="V44" s="2149"/>
    </row>
    <row r="45" spans="1:22" s="2150" customFormat="1" ht="18" customHeight="1">
      <c r="A45" s="2146"/>
      <c r="B45" s="2146"/>
      <c r="C45" s="1270"/>
      <c r="D45" s="1270"/>
      <c r="E45" s="1270"/>
      <c r="F45" s="1270"/>
      <c r="G45" s="1270"/>
      <c r="H45" s="9"/>
      <c r="I45" s="9"/>
      <c r="J45" s="2147"/>
      <c r="K45" s="2148"/>
      <c r="L45" s="2148"/>
      <c r="M45" s="9"/>
      <c r="N45" s="1270"/>
      <c r="O45" s="9"/>
      <c r="P45" s="1270"/>
      <c r="Q45" s="1270"/>
      <c r="R45" s="1270"/>
      <c r="S45" s="2149"/>
      <c r="T45" s="2149"/>
      <c r="U45" s="2149"/>
      <c r="V45" s="2149"/>
    </row>
    <row r="46" spans="1:22" s="2150" customFormat="1" ht="18" customHeight="1">
      <c r="A46" s="2146"/>
      <c r="B46" s="2146"/>
      <c r="C46" s="1270"/>
      <c r="D46" s="1270"/>
      <c r="E46" s="1270"/>
      <c r="F46" s="1270"/>
      <c r="G46" s="1270"/>
      <c r="H46" s="9"/>
      <c r="I46" s="9"/>
      <c r="J46" s="2147"/>
      <c r="K46" s="2148"/>
      <c r="L46" s="2148"/>
      <c r="M46" s="9"/>
      <c r="N46" s="1270"/>
      <c r="O46" s="9"/>
      <c r="P46" s="1270"/>
      <c r="Q46" s="1270"/>
      <c r="R46" s="1270"/>
      <c r="S46" s="2149"/>
      <c r="T46" s="2149"/>
      <c r="U46" s="2149"/>
      <c r="V46" s="2149"/>
    </row>
    <row r="47" spans="1:22" s="2150" customFormat="1" ht="18" customHeight="1">
      <c r="A47" s="2146"/>
      <c r="B47" s="2146"/>
      <c r="C47" s="1270"/>
      <c r="D47" s="1270"/>
      <c r="E47" s="1270"/>
      <c r="F47" s="1270"/>
      <c r="G47" s="1270"/>
      <c r="H47" s="9"/>
      <c r="I47" s="9"/>
      <c r="J47" s="2147"/>
      <c r="K47" s="2148"/>
      <c r="L47" s="2148"/>
      <c r="M47" s="9"/>
      <c r="N47" s="1270"/>
      <c r="O47" s="9"/>
      <c r="P47" s="1270"/>
      <c r="Q47" s="1270"/>
      <c r="R47" s="1270"/>
      <c r="S47" s="2149"/>
      <c r="T47" s="2149"/>
      <c r="U47" s="2149"/>
      <c r="V47" s="2149"/>
    </row>
    <row r="48" spans="1:22" s="2150" customFormat="1" ht="18" customHeight="1">
      <c r="A48" s="2146"/>
      <c r="B48" s="2146"/>
      <c r="C48" s="1270"/>
      <c r="D48" s="1270"/>
      <c r="E48" s="1270"/>
      <c r="F48" s="1270"/>
      <c r="G48" s="1270"/>
      <c r="H48" s="9"/>
      <c r="I48" s="9"/>
      <c r="J48" s="2147"/>
      <c r="K48" s="2148"/>
      <c r="L48" s="2148"/>
      <c r="M48" s="9"/>
      <c r="N48" s="1270"/>
      <c r="O48" s="9"/>
      <c r="P48" s="1270"/>
      <c r="Q48" s="1270"/>
      <c r="R48" s="1270"/>
      <c r="S48" s="2149"/>
      <c r="T48" s="2149"/>
      <c r="U48" s="2149"/>
      <c r="V48" s="2149"/>
    </row>
    <row r="49" spans="1:22" s="2150" customFormat="1" ht="18" customHeight="1">
      <c r="A49" s="2146"/>
      <c r="B49" s="2146"/>
      <c r="C49" s="1270"/>
      <c r="D49" s="1270"/>
      <c r="E49" s="1270"/>
      <c r="F49" s="1270"/>
      <c r="G49" s="1270"/>
      <c r="H49" s="9"/>
      <c r="I49" s="9"/>
      <c r="J49" s="2147"/>
      <c r="K49" s="2148"/>
      <c r="L49" s="2148"/>
      <c r="M49" s="9"/>
      <c r="N49" s="1270"/>
      <c r="O49" s="9"/>
      <c r="P49" s="1270"/>
      <c r="Q49" s="1270"/>
      <c r="R49" s="1270"/>
      <c r="S49" s="2149"/>
      <c r="T49" s="2149"/>
      <c r="U49" s="2149"/>
      <c r="V49" s="2149"/>
    </row>
    <row r="50" spans="1:22" s="2150" customFormat="1" ht="18" customHeight="1">
      <c r="A50" s="2146"/>
      <c r="B50" s="2146"/>
      <c r="C50" s="1270"/>
      <c r="D50" s="1270"/>
      <c r="E50" s="1270"/>
      <c r="F50" s="1270"/>
      <c r="G50" s="1270"/>
      <c r="H50" s="9"/>
      <c r="I50" s="9"/>
      <c r="J50" s="2147"/>
      <c r="K50" s="2148"/>
      <c r="L50" s="2148"/>
      <c r="M50" s="9"/>
      <c r="N50" s="1270"/>
      <c r="O50" s="9"/>
      <c r="P50" s="1270"/>
      <c r="Q50" s="1270"/>
      <c r="R50" s="1270"/>
      <c r="S50" s="2149"/>
      <c r="T50" s="2149"/>
      <c r="U50" s="2149"/>
      <c r="V50" s="2149"/>
    </row>
    <row r="51" spans="1:22" s="2150" customFormat="1" ht="18" customHeight="1">
      <c r="A51" s="2146"/>
      <c r="B51" s="2146"/>
      <c r="C51" s="1270"/>
      <c r="D51" s="1270"/>
      <c r="E51" s="1270"/>
      <c r="F51" s="1270"/>
      <c r="G51" s="1270"/>
      <c r="H51" s="9"/>
      <c r="I51" s="9"/>
      <c r="J51" s="2147"/>
      <c r="K51" s="2148"/>
      <c r="L51" s="2148"/>
      <c r="M51" s="9"/>
      <c r="N51" s="1270"/>
      <c r="O51" s="9"/>
      <c r="P51" s="1270"/>
      <c r="Q51" s="1270"/>
      <c r="R51" s="1270"/>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20"/>
  <sheetViews>
    <sheetView tabSelected="1" workbookViewId="0">
      <selection activeCell="C6" sqref="C6"/>
    </sheetView>
  </sheetViews>
  <sheetFormatPr defaultRowHeight="13.5"/>
  <cols>
    <col min="4" max="5" width="7" customWidth="1"/>
    <col min="6" max="6" width="6.75" customWidth="1"/>
    <col min="7" max="7" width="13" customWidth="1"/>
  </cols>
  <sheetData>
    <row r="1" spans="1:14">
      <c r="A1" s="2922" t="s">
        <v>3057</v>
      </c>
    </row>
    <row r="2" spans="1:14">
      <c r="A2">
        <v>41398.199999999997</v>
      </c>
      <c r="D2" s="2922" t="s">
        <v>3072</v>
      </c>
      <c r="H2" s="2922" t="s">
        <v>3078</v>
      </c>
    </row>
    <row r="4" spans="1:14">
      <c r="A4" s="2922" t="s">
        <v>3058</v>
      </c>
      <c r="B4" s="2922" t="s">
        <v>3069</v>
      </c>
      <c r="C4" s="2922" t="s">
        <v>3071</v>
      </c>
      <c r="G4" s="2922" t="s">
        <v>3059</v>
      </c>
      <c r="H4" s="2922" t="s">
        <v>3171</v>
      </c>
      <c r="I4" s="2922" t="s">
        <v>3071</v>
      </c>
      <c r="J4" s="2922" t="s">
        <v>3172</v>
      </c>
      <c r="L4" s="2922" t="s">
        <v>3069</v>
      </c>
      <c r="M4" s="2922" t="s">
        <v>3186</v>
      </c>
      <c r="N4" s="2922" t="s">
        <v>3185</v>
      </c>
    </row>
    <row r="5" spans="1:14">
      <c r="A5" s="2922" t="s">
        <v>3060</v>
      </c>
      <c r="B5">
        <v>9962.08</v>
      </c>
      <c r="C5" s="2962">
        <f>308.89+45.52</f>
        <v>354.40999999999997</v>
      </c>
      <c r="G5" s="2922" t="s">
        <v>3074</v>
      </c>
      <c r="H5" s="2924">
        <f>12537.1-J5-89.96</f>
        <v>10971.45</v>
      </c>
      <c r="I5" s="2924">
        <v>803.71</v>
      </c>
      <c r="J5" s="2924">
        <v>1475.69</v>
      </c>
      <c r="K5" s="2922" t="s">
        <v>3085</v>
      </c>
      <c r="L5">
        <f>H5+H6+H7+B5+B6+B7+B8+B9+H8</f>
        <v>95489.510000000009</v>
      </c>
      <c r="M5">
        <f>I5+I6+I7+C5+C6+C7+C8+C9-N5</f>
        <v>5946.12</v>
      </c>
      <c r="N5">
        <f>45.52+32.87+30.82+22.71+16.67</f>
        <v>148.59000000000003</v>
      </c>
    </row>
    <row r="6" spans="1:14">
      <c r="A6" s="2922" t="s">
        <v>3061</v>
      </c>
      <c r="B6">
        <v>13266.26</v>
      </c>
      <c r="C6" s="2962">
        <f>592.95+32.87</f>
        <v>625.82000000000005</v>
      </c>
      <c r="G6" s="2922" t="s">
        <v>3075</v>
      </c>
      <c r="H6" s="2924">
        <f>12272.1-J6-89.96</f>
        <v>10971.45</v>
      </c>
      <c r="I6" s="2924">
        <v>827.98</v>
      </c>
      <c r="J6" s="2924">
        <v>1210.69</v>
      </c>
      <c r="K6" s="2922" t="s">
        <v>3086</v>
      </c>
      <c r="L6">
        <f>H9+B10</f>
        <v>220.41000000000008</v>
      </c>
      <c r="M6">
        <f>I9+C10+C11</f>
        <v>19374.22</v>
      </c>
    </row>
    <row r="7" spans="1:14">
      <c r="A7" s="2922" t="s">
        <v>3062</v>
      </c>
      <c r="B7">
        <v>13265.38</v>
      </c>
      <c r="C7" s="2962">
        <f>636.2+30.82</f>
        <v>667.0200000000001</v>
      </c>
      <c r="G7" s="2922" t="s">
        <v>3076</v>
      </c>
      <c r="H7" s="2924">
        <f>12504.11-J7</f>
        <v>10971.44</v>
      </c>
      <c r="I7" s="2924">
        <v>695.01</v>
      </c>
      <c r="J7" s="2924">
        <v>1532.67</v>
      </c>
      <c r="K7" s="2922"/>
    </row>
    <row r="8" spans="1:14">
      <c r="A8" s="2922" t="s">
        <v>3063</v>
      </c>
      <c r="B8" s="2947">
        <v>13243.63</v>
      </c>
      <c r="C8" s="2962">
        <f>644.3+22.71</f>
        <v>667.01</v>
      </c>
      <c r="G8" s="2922" t="s">
        <v>3087</v>
      </c>
      <c r="H8" s="2924"/>
      <c r="I8" s="2924"/>
      <c r="J8" s="2957">
        <v>2761.03</v>
      </c>
    </row>
    <row r="9" spans="1:14">
      <c r="A9" s="2922" t="s">
        <v>3064</v>
      </c>
      <c r="B9">
        <v>12837.82</v>
      </c>
      <c r="C9" s="2962">
        <f>1437.08+16.67</f>
        <v>1453.75</v>
      </c>
      <c r="G9" s="2922" t="s">
        <v>3077</v>
      </c>
      <c r="H9" s="2924">
        <f>1791.2-608.26-60.48-103.05-959.61</f>
        <v>59.800000000000068</v>
      </c>
      <c r="I9" s="2924">
        <f>8377.91-I10</f>
        <v>7513.65</v>
      </c>
      <c r="J9" s="2962">
        <v>959.61</v>
      </c>
    </row>
    <row r="10" spans="1:14">
      <c r="A10" s="2922" t="s">
        <v>3065</v>
      </c>
      <c r="B10" s="2923">
        <v>160.61000000000001</v>
      </c>
      <c r="C10" s="2923">
        <f>5618.21-121.22-39.39</f>
        <v>5457.5999999999995</v>
      </c>
      <c r="D10">
        <f>121.22+39.39</f>
        <v>160.61000000000001</v>
      </c>
      <c r="G10" s="2922" t="s">
        <v>3170</v>
      </c>
      <c r="H10" s="2962">
        <f>89.96+89.96+70+608.26+60.48+103.05</f>
        <v>1021.7099999999999</v>
      </c>
      <c r="I10" s="2924">
        <f>608.26+60.48+103.05+92.47</f>
        <v>864.26</v>
      </c>
      <c r="J10" s="2924"/>
    </row>
    <row r="11" spans="1:14">
      <c r="A11" s="2922" t="s">
        <v>3066</v>
      </c>
      <c r="B11" s="2923"/>
      <c r="C11" s="2923">
        <v>6402.97</v>
      </c>
      <c r="G11" s="2922" t="s">
        <v>3073</v>
      </c>
      <c r="H11">
        <f>SUM(H5:H10)</f>
        <v>33995.850000000006</v>
      </c>
      <c r="I11">
        <f>SUM(I5:I10)</f>
        <v>10704.609999999999</v>
      </c>
      <c r="J11">
        <f>SUM(J5:J10)</f>
        <v>7939.69</v>
      </c>
    </row>
    <row r="12" spans="1:14">
      <c r="A12" s="2922" t="s">
        <v>3067</v>
      </c>
      <c r="B12" s="2923">
        <v>212.16</v>
      </c>
      <c r="C12" s="2923"/>
    </row>
    <row r="14" spans="1:14">
      <c r="A14" s="2922" t="s">
        <v>3073</v>
      </c>
      <c r="B14">
        <f>SUM(B5:B12)</f>
        <v>62947.94</v>
      </c>
      <c r="C14">
        <f>SUM(C5:C12)</f>
        <v>15628.580000000002</v>
      </c>
    </row>
    <row r="17" spans="3:4">
      <c r="C17" s="2922" t="s">
        <v>3129</v>
      </c>
    </row>
    <row r="18" spans="3:4">
      <c r="C18" s="2961">
        <v>693</v>
      </c>
      <c r="D18" s="2922" t="s">
        <v>3130</v>
      </c>
    </row>
    <row r="19" spans="3:4">
      <c r="C19" s="2922" t="s">
        <v>3131</v>
      </c>
    </row>
    <row r="20" spans="3:4">
      <c r="C20">
        <f>I9/(I9+C10+C11)*C18</f>
        <v>268.75711383477631</v>
      </c>
    </row>
  </sheetData>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H17" sqref="H17"/>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hidden="1" customWidth="1"/>
    <col min="18" max="18" width="9.25" style="2152" hidden="1" customWidth="1"/>
    <col min="19" max="19" width="10.875" style="2152" hidden="1" customWidth="1"/>
    <col min="20" max="21" width="10.75" style="2152" hidden="1" customWidth="1"/>
    <col min="22" max="22" width="10.875" style="2152" hidden="1" customWidth="1"/>
    <col min="23" max="27" width="10.75" style="2152" hidden="1" customWidth="1"/>
    <col min="28" max="28" width="10.875" style="2152" hidden="1" customWidth="1"/>
    <col min="29" max="29" width="11" style="2152" bestFit="1" customWidth="1"/>
    <col min="30" max="30" width="10" style="2152" bestFit="1" customWidth="1"/>
    <col min="31" max="31" width="9.75" style="2152" customWidth="1"/>
    <col min="32" max="41" width="9.5" style="2152" customWidth="1"/>
    <col min="42" max="45" width="9.5" style="2152" hidden="1" customWidth="1"/>
    <col min="46"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1873</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6" t="s">
        <v>1874</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0" customFormat="1" ht="24">
      <c r="A2" s="11" t="s">
        <v>1875</v>
      </c>
      <c r="B2" s="11" t="s">
        <v>1876</v>
      </c>
      <c r="C2" s="11" t="s">
        <v>1877</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7" t="s">
        <v>1878</v>
      </c>
      <c r="AZ2" s="1268" t="s">
        <v>1879</v>
      </c>
      <c r="BA2" s="11" t="s">
        <v>1880</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f>面积表!A2</f>
        <v>41398.199999999997</v>
      </c>
      <c r="B3" s="14">
        <f>IF(C3="否",G5-AT5,G5)</f>
        <v>131497.4</v>
      </c>
      <c r="C3" s="2161" t="s">
        <v>1881</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9"/>
      <c r="AZ3" s="1270"/>
      <c r="BA3" s="1271"/>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1882</v>
      </c>
      <c r="B5" s="1800"/>
      <c r="C5" s="1800"/>
      <c r="D5" s="1803"/>
      <c r="E5" s="16" t="s">
        <v>1</v>
      </c>
      <c r="F5" s="16">
        <f>SUM(F13:F587)</f>
        <v>0</v>
      </c>
      <c r="G5" s="16">
        <f>SUM(G13:G587)</f>
        <v>131497.4</v>
      </c>
      <c r="H5" s="16">
        <f t="shared" ref="H5:AT5" si="0">SUM(H13:H656)</f>
        <v>128749.53999999998</v>
      </c>
      <c r="I5" s="16">
        <f t="shared" si="0"/>
        <v>95489.510000000009</v>
      </c>
      <c r="J5" s="16">
        <f t="shared" si="0"/>
        <v>49331.54</v>
      </c>
      <c r="K5" s="16">
        <f t="shared" si="0"/>
        <v>5946.12</v>
      </c>
      <c r="L5" s="16">
        <f t="shared" si="0"/>
        <v>2975.12</v>
      </c>
      <c r="M5" s="16">
        <f t="shared" si="0"/>
        <v>19374.22</v>
      </c>
      <c r="N5" s="16">
        <f t="shared" si="0"/>
        <v>0</v>
      </c>
      <c r="O5" s="16">
        <f t="shared" si="0"/>
        <v>7939.6900000000005</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2747.8599999999997</v>
      </c>
      <c r="AD5" s="16">
        <f t="shared" si="0"/>
        <v>1182.32</v>
      </c>
      <c r="AE5" s="16">
        <f t="shared" si="0"/>
        <v>0</v>
      </c>
      <c r="AF5" s="16">
        <f t="shared" si="0"/>
        <v>903.64999999999986</v>
      </c>
      <c r="AG5" s="16">
        <f t="shared" si="0"/>
        <v>0</v>
      </c>
      <c r="AH5" s="16">
        <f t="shared" si="0"/>
        <v>179.92</v>
      </c>
      <c r="AI5" s="16">
        <f t="shared" si="0"/>
        <v>0</v>
      </c>
      <c r="AJ5" s="16">
        <f t="shared" si="0"/>
        <v>121.22</v>
      </c>
      <c r="AK5" s="16">
        <f t="shared" si="0"/>
        <v>0</v>
      </c>
      <c r="AL5" s="16">
        <f t="shared" si="0"/>
        <v>212.16</v>
      </c>
      <c r="AM5" s="16">
        <f t="shared" si="0"/>
        <v>0</v>
      </c>
      <c r="AN5" s="16">
        <f t="shared" si="0"/>
        <v>148.59000000000003</v>
      </c>
      <c r="AO5" s="16">
        <f t="shared" si="0"/>
        <v>0</v>
      </c>
      <c r="AP5" s="16">
        <f t="shared" si="0"/>
        <v>0</v>
      </c>
      <c r="AQ5" s="16">
        <f t="shared" si="0"/>
        <v>0</v>
      </c>
      <c r="AR5" s="16">
        <f t="shared" si="0"/>
        <v>0</v>
      </c>
      <c r="AS5" s="16">
        <f t="shared" si="0"/>
        <v>0</v>
      </c>
      <c r="AT5" s="16">
        <f t="shared" si="0"/>
        <v>0</v>
      </c>
      <c r="AU5" s="1799"/>
      <c r="AV5" s="15" t="s">
        <v>1882</v>
      </c>
      <c r="AW5" s="1800"/>
      <c r="AX5" s="1800"/>
      <c r="AY5" s="17" t="s">
        <v>3</v>
      </c>
      <c r="AZ5" s="18">
        <f t="shared" ref="AZ5:BT5" si="1">SUM(AZ13:AZ656)</f>
        <v>67330.170000000013</v>
      </c>
      <c r="BA5" s="18">
        <f t="shared" si="1"/>
        <v>64582.310000000005</v>
      </c>
      <c r="BB5" s="18">
        <f t="shared" si="1"/>
        <v>46157.97</v>
      </c>
      <c r="BC5" s="18">
        <f t="shared" si="1"/>
        <v>2971</v>
      </c>
      <c r="BD5" s="18">
        <f t="shared" si="1"/>
        <v>7513.65</v>
      </c>
      <c r="BE5" s="18">
        <f t="shared" si="1"/>
        <v>7939.6900000000005</v>
      </c>
      <c r="BF5" s="18">
        <f t="shared" si="1"/>
        <v>0</v>
      </c>
      <c r="BG5" s="18">
        <f t="shared" si="1"/>
        <v>0</v>
      </c>
      <c r="BH5" s="18">
        <f t="shared" si="1"/>
        <v>0</v>
      </c>
      <c r="BI5" s="18">
        <f t="shared" si="1"/>
        <v>0</v>
      </c>
      <c r="BJ5" s="18">
        <f t="shared" si="1"/>
        <v>0</v>
      </c>
      <c r="BK5" s="18">
        <f t="shared" si="1"/>
        <v>0</v>
      </c>
      <c r="BL5" s="18">
        <f t="shared" si="1"/>
        <v>2747.8599999999997</v>
      </c>
      <c r="BM5" s="18">
        <f t="shared" si="1"/>
        <v>1182.32</v>
      </c>
      <c r="BN5" s="18">
        <f t="shared" si="1"/>
        <v>903.64999999999986</v>
      </c>
      <c r="BO5" s="18">
        <f t="shared" si="1"/>
        <v>179.92</v>
      </c>
      <c r="BP5" s="18">
        <f t="shared" si="1"/>
        <v>121.22</v>
      </c>
      <c r="BQ5" s="18">
        <f t="shared" si="1"/>
        <v>212.16</v>
      </c>
      <c r="BR5" s="18">
        <f t="shared" si="1"/>
        <v>148.59000000000003</v>
      </c>
      <c r="BS5" s="18">
        <f t="shared" si="1"/>
        <v>0</v>
      </c>
      <c r="BT5" s="19">
        <f t="shared" si="1"/>
        <v>0</v>
      </c>
    </row>
    <row r="6" spans="1:72" s="2170" customFormat="1" ht="12.75">
      <c r="A6" s="15" t="s">
        <v>1883</v>
      </c>
      <c r="B6" s="2167"/>
      <c r="C6" s="2167"/>
      <c r="D6" s="2168"/>
      <c r="E6" s="16">
        <f>H6+AC6+AT6</f>
        <v>41398.19</v>
      </c>
      <c r="F6" s="16" t="s">
        <v>1</v>
      </c>
      <c r="G6" s="16" t="s">
        <v>2</v>
      </c>
      <c r="H6" s="20">
        <f>SUMIF(I$12:AB$12,"总值",I6:AB6)</f>
        <v>40533.11</v>
      </c>
      <c r="I6" s="16">
        <f t="shared" ref="I6:AB6" si="2">ROUND($A$3*I5/$B$3,2)</f>
        <v>30062.14</v>
      </c>
      <c r="J6" s="16">
        <f t="shared" si="2"/>
        <v>15530.63</v>
      </c>
      <c r="K6" s="16">
        <f t="shared" si="2"/>
        <v>1871.97</v>
      </c>
      <c r="L6" s="16">
        <f t="shared" si="2"/>
        <v>936.63</v>
      </c>
      <c r="M6" s="16">
        <f t="shared" si="2"/>
        <v>6099.42</v>
      </c>
      <c r="N6" s="16">
        <f t="shared" si="2"/>
        <v>0</v>
      </c>
      <c r="O6" s="16">
        <f t="shared" si="2"/>
        <v>2499.58</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865.07999999999993</v>
      </c>
      <c r="AD6" s="16">
        <f t="shared" ref="AD6:AS6" si="3">ROUND($A$3*AD5/$B$3,2)</f>
        <v>372.22</v>
      </c>
      <c r="AE6" s="16">
        <f t="shared" si="3"/>
        <v>0</v>
      </c>
      <c r="AF6" s="16">
        <f t="shared" si="3"/>
        <v>284.49</v>
      </c>
      <c r="AG6" s="16">
        <f t="shared" si="3"/>
        <v>0</v>
      </c>
      <c r="AH6" s="16">
        <f t="shared" si="3"/>
        <v>56.64</v>
      </c>
      <c r="AI6" s="16">
        <f t="shared" si="3"/>
        <v>0</v>
      </c>
      <c r="AJ6" s="16">
        <f t="shared" si="3"/>
        <v>38.159999999999997</v>
      </c>
      <c r="AK6" s="16">
        <f t="shared" si="3"/>
        <v>0</v>
      </c>
      <c r="AL6" s="16">
        <f t="shared" si="3"/>
        <v>66.790000000000006</v>
      </c>
      <c r="AM6" s="16">
        <f t="shared" si="3"/>
        <v>0</v>
      </c>
      <c r="AN6" s="16">
        <f t="shared" si="3"/>
        <v>46.78</v>
      </c>
      <c r="AO6" s="16">
        <f t="shared" si="3"/>
        <v>0</v>
      </c>
      <c r="AP6" s="16">
        <f t="shared" si="3"/>
        <v>0</v>
      </c>
      <c r="AQ6" s="16">
        <f t="shared" si="3"/>
        <v>0</v>
      </c>
      <c r="AR6" s="16">
        <f t="shared" si="3"/>
        <v>0</v>
      </c>
      <c r="AS6" s="16">
        <f t="shared" si="3"/>
        <v>0</v>
      </c>
      <c r="AT6" s="20">
        <f>IF(C3="是",ROUND($A$3*AT5/$B$3,2),0)</f>
        <v>0</v>
      </c>
      <c r="AU6" s="2169"/>
      <c r="AV6" s="15" t="s">
        <v>1883</v>
      </c>
      <c r="AW6" s="2167"/>
      <c r="AX6" s="2167"/>
      <c r="AY6" s="21">
        <f>IF(AY3&gt;0,AY3,ROUND($A$3*AZ5/$B$3,2))</f>
        <v>21196.98</v>
      </c>
      <c r="AZ6" s="16" t="s">
        <v>3</v>
      </c>
      <c r="BA6" s="16">
        <f>ROUND($AY$6*BA5/$AZ$5,2)</f>
        <v>20331.89</v>
      </c>
      <c r="BB6" s="16">
        <f>ROUND($AY$6*BB5/$AZ$5,2)</f>
        <v>14531.52</v>
      </c>
      <c r="BC6" s="16">
        <f t="shared" ref="BC6:BH6" si="4">ROUND($AY$6*BC5/$AZ$5,2)</f>
        <v>935.33</v>
      </c>
      <c r="BD6" s="16">
        <f t="shared" si="4"/>
        <v>2365.46</v>
      </c>
      <c r="BE6" s="16">
        <f t="shared" si="4"/>
        <v>2499.58</v>
      </c>
      <c r="BF6" s="16">
        <f t="shared" si="4"/>
        <v>0</v>
      </c>
      <c r="BG6" s="16">
        <f t="shared" si="4"/>
        <v>0</v>
      </c>
      <c r="BH6" s="16">
        <f t="shared" si="4"/>
        <v>0</v>
      </c>
      <c r="BI6" s="16">
        <f t="shared" ref="BI6:BT6" si="5">ROUND($AY$6*BI5/$AZ$5,2)</f>
        <v>0</v>
      </c>
      <c r="BJ6" s="16">
        <f t="shared" si="5"/>
        <v>0</v>
      </c>
      <c r="BK6" s="16">
        <f t="shared" si="5"/>
        <v>0</v>
      </c>
      <c r="BL6" s="16">
        <f t="shared" si="5"/>
        <v>865.09</v>
      </c>
      <c r="BM6" s="16">
        <f t="shared" si="5"/>
        <v>372.22</v>
      </c>
      <c r="BN6" s="16">
        <f t="shared" si="5"/>
        <v>284.49</v>
      </c>
      <c r="BO6" s="16">
        <f t="shared" si="5"/>
        <v>56.64</v>
      </c>
      <c r="BP6" s="16">
        <f t="shared" si="5"/>
        <v>38.159999999999997</v>
      </c>
      <c r="BQ6" s="16">
        <f t="shared" si="5"/>
        <v>66.790000000000006</v>
      </c>
      <c r="BR6" s="16">
        <f t="shared" si="5"/>
        <v>46.78</v>
      </c>
      <c r="BS6" s="16">
        <f t="shared" si="5"/>
        <v>0</v>
      </c>
      <c r="BT6" s="22">
        <f t="shared" si="5"/>
        <v>0</v>
      </c>
    </row>
    <row r="7" spans="1:72" s="2160" customFormat="1" ht="24.75">
      <c r="A7" s="2102" t="s">
        <v>1884</v>
      </c>
      <c r="B7" s="2102" t="s">
        <v>1885</v>
      </c>
      <c r="C7" s="2102" t="s">
        <v>1886</v>
      </c>
      <c r="D7" s="2102" t="s">
        <v>1887</v>
      </c>
      <c r="E7" s="2102" t="s">
        <v>1888</v>
      </c>
      <c r="F7" s="2102" t="s">
        <v>1889</v>
      </c>
      <c r="G7" s="2171" t="s">
        <v>1890</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3"/>
      <c r="AU7" s="2172" t="s">
        <v>1891</v>
      </c>
      <c r="AV7" s="23" t="s">
        <v>1892</v>
      </c>
      <c r="AW7" s="2159" t="s">
        <v>1893</v>
      </c>
      <c r="AX7" s="23" t="s">
        <v>1886</v>
      </c>
      <c r="AY7" s="1800" t="s">
        <v>1894</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1895</v>
      </c>
      <c r="H8" s="2177" t="s">
        <v>1896</v>
      </c>
      <c r="I8" s="2178"/>
      <c r="J8" s="1815"/>
      <c r="K8" s="1815"/>
      <c r="L8" s="1815"/>
      <c r="M8" s="1815"/>
      <c r="N8" s="1815"/>
      <c r="O8" s="1815"/>
      <c r="P8" s="1815"/>
      <c r="Q8" s="1815"/>
      <c r="R8" s="1815"/>
      <c r="S8" s="1815"/>
      <c r="T8" s="1815"/>
      <c r="U8" s="1815"/>
      <c r="V8" s="2179"/>
      <c r="W8" s="1815"/>
      <c r="X8" s="1815"/>
      <c r="Y8" s="1815"/>
      <c r="Z8" s="1815"/>
      <c r="AA8" s="2179"/>
      <c r="AB8" s="2180"/>
      <c r="AC8" s="979" t="s">
        <v>1897</v>
      </c>
      <c r="AD8" s="2181"/>
      <c r="AE8" s="2173"/>
      <c r="AF8" s="1815"/>
      <c r="AG8" s="1815"/>
      <c r="AH8" s="1815"/>
      <c r="AI8" s="1815"/>
      <c r="AJ8" s="1815"/>
      <c r="AK8" s="1815"/>
      <c r="AL8" s="1815"/>
      <c r="AM8" s="1815"/>
      <c r="AN8" s="1815"/>
      <c r="AO8" s="1815"/>
      <c r="AP8" s="1815"/>
      <c r="AQ8" s="1815"/>
      <c r="AR8" s="1815"/>
      <c r="AS8" s="1815"/>
      <c r="AT8" s="1290" t="s">
        <v>1898</v>
      </c>
      <c r="AU8" s="2175" t="s">
        <v>1899</v>
      </c>
      <c r="AV8" s="1290"/>
      <c r="AW8" s="2158"/>
      <c r="AX8" s="1290"/>
      <c r="AY8" s="2159" t="s">
        <v>1900</v>
      </c>
      <c r="AZ8" s="1814" t="s">
        <v>1901</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2" customFormat="1" ht="12.75">
      <c r="A9" s="2175"/>
      <c r="B9" s="2175"/>
      <c r="C9" s="2175"/>
      <c r="D9" s="2175"/>
      <c r="E9" s="2175"/>
      <c r="F9" s="2175"/>
      <c r="G9" s="1290"/>
      <c r="H9" s="2183" t="s">
        <v>1902</v>
      </c>
      <c r="I9" s="2184" t="s">
        <v>3068</v>
      </c>
      <c r="J9" s="979"/>
      <c r="K9" s="2184" t="s">
        <v>3070</v>
      </c>
      <c r="L9" s="979"/>
      <c r="M9" s="2184" t="s">
        <v>3070</v>
      </c>
      <c r="N9" s="979"/>
      <c r="O9" s="2184" t="s">
        <v>3068</v>
      </c>
      <c r="P9" s="979"/>
      <c r="Q9" s="2184"/>
      <c r="R9" s="979"/>
      <c r="S9" s="2184"/>
      <c r="T9" s="979"/>
      <c r="U9" s="2184"/>
      <c r="V9" s="979"/>
      <c r="W9" s="2184"/>
      <c r="X9" s="2185"/>
      <c r="Y9" s="2184"/>
      <c r="Z9" s="979"/>
      <c r="AA9" s="2184"/>
      <c r="AB9" s="979"/>
      <c r="AC9" s="2176" t="s">
        <v>1902</v>
      </c>
      <c r="AD9" s="15" t="s">
        <v>1903</v>
      </c>
      <c r="AE9" s="1296"/>
      <c r="AF9" s="15" t="s">
        <v>1904</v>
      </c>
      <c r="AG9" s="1296"/>
      <c r="AH9" s="15" t="s">
        <v>1903</v>
      </c>
      <c r="AI9" s="1296"/>
      <c r="AJ9" s="15" t="s">
        <v>1904</v>
      </c>
      <c r="AK9" s="1296"/>
      <c r="AL9" s="15" t="s">
        <v>1903</v>
      </c>
      <c r="AM9" s="1296"/>
      <c r="AN9" s="15" t="s">
        <v>1904</v>
      </c>
      <c r="AO9" s="1296"/>
      <c r="AP9" s="15" t="s">
        <v>1903</v>
      </c>
      <c r="AQ9" s="1296"/>
      <c r="AR9" s="15" t="s">
        <v>1904</v>
      </c>
      <c r="AS9" s="2186"/>
      <c r="AT9" s="2175"/>
      <c r="AU9" s="2175" t="s">
        <v>1905</v>
      </c>
      <c r="AV9" s="1290"/>
      <c r="AW9" s="2158"/>
      <c r="AX9" s="1290"/>
      <c r="AY9" s="28"/>
      <c r="AZ9" s="28" t="s">
        <v>1895</v>
      </c>
      <c r="BA9" s="2187" t="s">
        <v>1906</v>
      </c>
      <c r="BB9" s="2188"/>
      <c r="BC9" s="1336"/>
      <c r="BD9" s="1336"/>
      <c r="BE9" s="1336"/>
      <c r="BF9" s="1336"/>
      <c r="BG9" s="1336"/>
      <c r="BH9" s="1336"/>
      <c r="BI9" s="1336"/>
      <c r="BJ9" s="1336"/>
      <c r="BK9" s="2189"/>
      <c r="BL9" s="15" t="s">
        <v>1907</v>
      </c>
      <c r="BM9" s="1815"/>
      <c r="BN9" s="2178"/>
      <c r="BO9" s="1815"/>
      <c r="BP9" s="1815"/>
      <c r="BQ9" s="1815"/>
      <c r="BR9" s="1815"/>
      <c r="BS9" s="1815"/>
      <c r="BT9" s="26"/>
    </row>
    <row r="10" spans="1:72" s="2182" customFormat="1" ht="12.75">
      <c r="A10" s="2175"/>
      <c r="B10" s="2175"/>
      <c r="C10" s="2175"/>
      <c r="D10" s="2175"/>
      <c r="E10" s="2175"/>
      <c r="F10" s="2175"/>
      <c r="G10" s="1290"/>
      <c r="H10" s="28"/>
      <c r="I10" s="2184" t="s">
        <v>3079</v>
      </c>
      <c r="J10" s="979"/>
      <c r="K10" s="2190" t="s">
        <v>3081</v>
      </c>
      <c r="L10" s="979"/>
      <c r="M10" s="2190" t="s">
        <v>3081</v>
      </c>
      <c r="N10" s="979"/>
      <c r="O10" s="2190" t="s">
        <v>1378</v>
      </c>
      <c r="P10" s="979"/>
      <c r="Q10" s="2190"/>
      <c r="R10" s="979"/>
      <c r="S10" s="2190"/>
      <c r="T10" s="979"/>
      <c r="U10" s="2190"/>
      <c r="V10" s="979"/>
      <c r="W10" s="2190"/>
      <c r="X10" s="979"/>
      <c r="Y10" s="2190"/>
      <c r="Z10" s="979"/>
      <c r="AA10" s="2190"/>
      <c r="AB10" s="979"/>
      <c r="AC10" s="1290"/>
      <c r="AD10" s="15" t="s">
        <v>1908</v>
      </c>
      <c r="AE10" s="2191"/>
      <c r="AF10" s="15" t="s">
        <v>1908</v>
      </c>
      <c r="AG10" s="2191"/>
      <c r="AH10" s="15" t="s">
        <v>1909</v>
      </c>
      <c r="AI10" s="2191"/>
      <c r="AJ10" s="15" t="s">
        <v>1909</v>
      </c>
      <c r="AK10" s="2191"/>
      <c r="AL10" s="15" t="s">
        <v>1910</v>
      </c>
      <c r="AM10" s="1296"/>
      <c r="AN10" s="15" t="s">
        <v>1910</v>
      </c>
      <c r="AO10" s="1296"/>
      <c r="AP10" s="15" t="s">
        <v>1911</v>
      </c>
      <c r="AQ10" s="1296"/>
      <c r="AR10" s="15" t="s">
        <v>1911</v>
      </c>
      <c r="AS10" s="1296"/>
      <c r="AT10" s="2175"/>
      <c r="AU10" s="2175"/>
      <c r="AV10" s="1290"/>
      <c r="AW10" s="2158"/>
      <c r="AX10" s="1290"/>
      <c r="AY10" s="28"/>
      <c r="AZ10" s="28"/>
      <c r="BA10" s="2192" t="s">
        <v>1902</v>
      </c>
      <c r="BB10" s="2193" t="str">
        <f>I9</f>
        <v>地上</v>
      </c>
      <c r="BC10" s="29" t="str">
        <f>K9</f>
        <v>地下</v>
      </c>
      <c r="BD10" s="29" t="str">
        <f>M9</f>
        <v>地下</v>
      </c>
      <c r="BE10" s="29" t="str">
        <f>O9</f>
        <v>地上</v>
      </c>
      <c r="BF10" s="29">
        <f>Q9</f>
        <v>0</v>
      </c>
      <c r="BG10" s="29">
        <f>S9</f>
        <v>0</v>
      </c>
      <c r="BH10" s="29">
        <f>U9</f>
        <v>0</v>
      </c>
      <c r="BI10" s="29">
        <f>W9</f>
        <v>0</v>
      </c>
      <c r="BJ10" s="29">
        <f>Y9</f>
        <v>0</v>
      </c>
      <c r="BK10" s="29">
        <f>AA9</f>
        <v>0</v>
      </c>
      <c r="BL10" s="25" t="s">
        <v>1902</v>
      </c>
      <c r="BM10" s="1814" t="str">
        <f>AD9</f>
        <v>地上</v>
      </c>
      <c r="BN10" s="29" t="str">
        <f>AF9</f>
        <v>地下</v>
      </c>
      <c r="BO10" s="1814" t="str">
        <f>AH9</f>
        <v>地上</v>
      </c>
      <c r="BP10" s="29" t="str">
        <f>AJ9</f>
        <v>地下</v>
      </c>
      <c r="BQ10" s="1814" t="str">
        <f>AL9</f>
        <v>地上</v>
      </c>
      <c r="BR10" s="29" t="str">
        <f>AN9</f>
        <v>地下</v>
      </c>
      <c r="BS10" s="1814" t="str">
        <f>AP9</f>
        <v>地上</v>
      </c>
      <c r="BT10" s="2194" t="str">
        <f>AR9</f>
        <v>地下</v>
      </c>
    </row>
    <row r="11" spans="1:72" s="2182" customFormat="1" ht="12.75">
      <c r="A11" s="2175"/>
      <c r="B11" s="2175"/>
      <c r="C11" s="2175"/>
      <c r="D11" s="2175"/>
      <c r="E11" s="2175"/>
      <c r="F11" s="2175"/>
      <c r="G11" s="1290"/>
      <c r="H11" s="2192"/>
      <c r="I11" s="2195" t="s">
        <v>3084</v>
      </c>
      <c r="J11" s="2196"/>
      <c r="K11" s="2195" t="s">
        <v>3089</v>
      </c>
      <c r="L11" s="2196"/>
      <c r="M11" s="2195" t="s">
        <v>3081</v>
      </c>
      <c r="N11" s="2196"/>
      <c r="O11" s="2195" t="s">
        <v>3175</v>
      </c>
      <c r="P11" s="2196"/>
      <c r="Q11" s="2195"/>
      <c r="R11" s="2196"/>
      <c r="S11" s="2195"/>
      <c r="T11" s="2196"/>
      <c r="U11" s="2195"/>
      <c r="V11" s="2196"/>
      <c r="W11" s="2195"/>
      <c r="X11" s="2196"/>
      <c r="Y11" s="2195"/>
      <c r="Z11" s="2196"/>
      <c r="AA11" s="2195"/>
      <c r="AB11" s="2196"/>
      <c r="AC11" s="1290"/>
      <c r="AD11" s="2197" t="s">
        <v>1912</v>
      </c>
      <c r="AE11" s="1816"/>
      <c r="AF11" s="2197" t="s">
        <v>1912</v>
      </c>
      <c r="AG11" s="1816"/>
      <c r="AH11" s="2197" t="s">
        <v>1913</v>
      </c>
      <c r="AI11" s="2198"/>
      <c r="AJ11" s="2197" t="s">
        <v>1913</v>
      </c>
      <c r="AK11" s="1816"/>
      <c r="AL11" s="1814"/>
      <c r="AM11" s="1816"/>
      <c r="AN11" s="1814"/>
      <c r="AO11" s="1816"/>
      <c r="AP11" s="1814"/>
      <c r="AQ11" s="1816"/>
      <c r="AR11" s="1814"/>
      <c r="AS11" s="1816"/>
      <c r="AT11" s="2158"/>
      <c r="AU11" s="2175"/>
      <c r="AV11" s="1290"/>
      <c r="AW11" s="2158"/>
      <c r="AX11" s="1290"/>
      <c r="AY11" s="28"/>
      <c r="AZ11" s="28"/>
      <c r="BA11" s="28"/>
      <c r="BB11" s="2180" t="str">
        <f>I10</f>
        <v>住宅</v>
      </c>
      <c r="BC11" s="2180" t="str">
        <f>K10</f>
        <v>车库</v>
      </c>
      <c r="BD11" s="2180" t="str">
        <f>M10</f>
        <v>车库</v>
      </c>
      <c r="BE11" s="2180" t="str">
        <f>O10</f>
        <v>商业</v>
      </c>
      <c r="BF11" s="2180">
        <f>Q10</f>
        <v>0</v>
      </c>
      <c r="BG11" s="2180">
        <f>S10</f>
        <v>0</v>
      </c>
      <c r="BH11" s="2180">
        <f>U10</f>
        <v>0</v>
      </c>
      <c r="BI11" s="2180">
        <f>W10</f>
        <v>0</v>
      </c>
      <c r="BJ11" s="2180">
        <f>Y10</f>
        <v>0</v>
      </c>
      <c r="BK11" s="2180">
        <f>AA10</f>
        <v>0</v>
      </c>
      <c r="BL11" s="1290"/>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3" t="s">
        <v>1914</v>
      </c>
      <c r="J12" s="11" t="s">
        <v>1915</v>
      </c>
      <c r="K12" s="11" t="s">
        <v>1914</v>
      </c>
      <c r="L12" s="11" t="s">
        <v>1915</v>
      </c>
      <c r="M12" s="11" t="s">
        <v>1914</v>
      </c>
      <c r="N12" s="11" t="s">
        <v>1915</v>
      </c>
      <c r="O12" s="11" t="s">
        <v>1914</v>
      </c>
      <c r="P12" s="11" t="s">
        <v>1915</v>
      </c>
      <c r="Q12" s="11" t="s">
        <v>1914</v>
      </c>
      <c r="R12" s="11" t="s">
        <v>1915</v>
      </c>
      <c r="S12" s="11" t="s">
        <v>1914</v>
      </c>
      <c r="T12" s="11" t="s">
        <v>1915</v>
      </c>
      <c r="U12" s="11" t="s">
        <v>1914</v>
      </c>
      <c r="V12" s="1799" t="s">
        <v>1915</v>
      </c>
      <c r="W12" s="11" t="s">
        <v>1914</v>
      </c>
      <c r="X12" s="11" t="s">
        <v>1915</v>
      </c>
      <c r="Y12" s="11" t="s">
        <v>1914</v>
      </c>
      <c r="Z12" s="11" t="s">
        <v>1915</v>
      </c>
      <c r="AA12" s="11" t="s">
        <v>1914</v>
      </c>
      <c r="AB12" s="11" t="s">
        <v>1915</v>
      </c>
      <c r="AC12" s="2202"/>
      <c r="AD12" s="1803" t="s">
        <v>1914</v>
      </c>
      <c r="AE12" s="11" t="s">
        <v>1915</v>
      </c>
      <c r="AF12" s="11" t="s">
        <v>1914</v>
      </c>
      <c r="AG12" s="11" t="s">
        <v>1915</v>
      </c>
      <c r="AH12" s="11" t="s">
        <v>1914</v>
      </c>
      <c r="AI12" s="11" t="s">
        <v>1915</v>
      </c>
      <c r="AJ12" s="11" t="s">
        <v>1914</v>
      </c>
      <c r="AK12" s="11" t="s">
        <v>1915</v>
      </c>
      <c r="AL12" s="11" t="s">
        <v>1914</v>
      </c>
      <c r="AM12" s="11" t="s">
        <v>1915</v>
      </c>
      <c r="AN12" s="11" t="s">
        <v>1914</v>
      </c>
      <c r="AO12" s="11" t="s">
        <v>1915</v>
      </c>
      <c r="AP12" s="11" t="s">
        <v>1914</v>
      </c>
      <c r="AQ12" s="11" t="s">
        <v>1915</v>
      </c>
      <c r="AR12" s="30" t="s">
        <v>1914</v>
      </c>
      <c r="AS12" s="2200" t="s">
        <v>1915</v>
      </c>
      <c r="AT12" s="2203"/>
      <c r="AU12" s="2200"/>
      <c r="AV12" s="31"/>
      <c r="AW12" s="2159"/>
      <c r="AX12" s="31"/>
      <c r="AY12" s="2204"/>
      <c r="AZ12" s="28"/>
      <c r="BA12" s="2192"/>
      <c r="BB12" s="24" t="str">
        <f>I11</f>
        <v>平层住宅</v>
      </c>
      <c r="BC12" s="2205" t="str">
        <f>K11</f>
        <v>戊类库房</v>
      </c>
      <c r="BD12" s="2205" t="str">
        <f>M11</f>
        <v>车库</v>
      </c>
      <c r="BE12" s="2180" t="str">
        <f>O11</f>
        <v>底商</v>
      </c>
      <c r="BF12" s="2180">
        <f>Q11</f>
        <v>0</v>
      </c>
      <c r="BG12" s="2180">
        <f>S11</f>
        <v>0</v>
      </c>
      <c r="BH12" s="2180">
        <f>U11</f>
        <v>0</v>
      </c>
      <c r="BI12" s="2180">
        <f>W11</f>
        <v>0</v>
      </c>
      <c r="BJ12" s="2180">
        <f>Y11</f>
        <v>0</v>
      </c>
      <c r="BK12" s="2180">
        <f>AA11</f>
        <v>0</v>
      </c>
      <c r="BL12" s="1290"/>
      <c r="BM12" s="1814" t="str">
        <f>AD11</f>
        <v>（住宅）</v>
      </c>
      <c r="BN12" s="1814" t="str">
        <f>AF11</f>
        <v>（住宅）</v>
      </c>
      <c r="BO12" s="24" t="str">
        <f>AH11</f>
        <v>（住宅、计出让金）</v>
      </c>
      <c r="BP12" s="24" t="str">
        <f>AJ11</f>
        <v>（住宅、计出让金）</v>
      </c>
      <c r="BQ12" s="24">
        <f>AL11</f>
        <v>0</v>
      </c>
      <c r="BR12" s="24">
        <f>AN11</f>
        <v>0</v>
      </c>
      <c r="BS12" s="25">
        <f>AP11</f>
        <v>0</v>
      </c>
      <c r="BT12" s="2199">
        <f>AR11</f>
        <v>0</v>
      </c>
    </row>
    <row r="13" spans="1:72" s="2160" customFormat="1" ht="12.75">
      <c r="A13" s="1270"/>
      <c r="B13" s="1270"/>
      <c r="C13" s="2925" t="s">
        <v>3091</v>
      </c>
      <c r="D13" s="2206" t="s">
        <v>3082</v>
      </c>
      <c r="E13" s="16">
        <f>IF($C$3="是",ROUND($A$3*G13/$B$3,2),ROUND($A$3*(G13-AT13)/$B$3,2))</f>
        <v>19700</v>
      </c>
      <c r="F13" s="32"/>
      <c r="G13" s="33">
        <f>H13+AC13+AT13</f>
        <v>62575.17</v>
      </c>
      <c r="H13" s="20">
        <f>SUMIF(I$12:AB$12,"总值",I13:AB13)</f>
        <v>62575.17</v>
      </c>
      <c r="I13" s="2207">
        <f>面积表!B5+面积表!B6+面积表!B7+面积表!B8+面积表!B9</f>
        <v>62575.17</v>
      </c>
      <c r="J13" s="2207">
        <f>面积表!B5+面积表!B6+面积表!B7+面积表!B9</f>
        <v>49331.54</v>
      </c>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t="str">
        <f t="shared" si="6"/>
        <v>已建住宅</v>
      </c>
      <c r="AY13" s="1803">
        <f>ROUND($AY$6*AZ13/$AZ$5,2)</f>
        <v>4169.38</v>
      </c>
      <c r="AZ13" s="16">
        <f>BA13+BL13</f>
        <v>13243.629999999997</v>
      </c>
      <c r="BA13" s="16">
        <f>SUM(BB13:BK13)</f>
        <v>13243.629999999997</v>
      </c>
      <c r="BB13" s="16">
        <f>IF($D13="是",I13-J13,0)</f>
        <v>13243.629999999997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2.75">
      <c r="A14" s="1270"/>
      <c r="B14" s="1270"/>
      <c r="C14" s="2926" t="s">
        <v>3088</v>
      </c>
      <c r="D14" s="2206" t="s">
        <v>3082</v>
      </c>
      <c r="E14" s="16">
        <f>IF($C$3="是",ROUND($A$3*G14/$B$3,2),ROUND($A$3*(G14-AT14)/$B$3,2))</f>
        <v>1871.97</v>
      </c>
      <c r="F14" s="32"/>
      <c r="G14" s="33">
        <f>H14+AC14+AT14</f>
        <v>5946.12</v>
      </c>
      <c r="H14" s="20">
        <f>SUMIF(I$12:AB$12,"总值",I14:AB14)</f>
        <v>5946.12</v>
      </c>
      <c r="I14" s="2207"/>
      <c r="J14" s="2207"/>
      <c r="K14" s="2963">
        <f>面积表!M5</f>
        <v>5946.12</v>
      </c>
      <c r="L14" s="2963">
        <f>面积表!C5+面积表!C6+面积表!C7+面积表!C9-45.52-32.87-30.82-16.67</f>
        <v>2975.12</v>
      </c>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t="str">
        <f t="shared" si="6"/>
        <v>储藏</v>
      </c>
      <c r="AY14" s="1803">
        <f>ROUND($AY$6*AZ14/$AZ$5,2)</f>
        <v>935.33</v>
      </c>
      <c r="AZ14" s="16">
        <f>BA14+BL14</f>
        <v>2971</v>
      </c>
      <c r="BA14" s="16">
        <f>SUM(BB14:BK14)</f>
        <v>2971</v>
      </c>
      <c r="BB14" s="16">
        <f>IF($D14="是",I14-J14,0)</f>
        <v>0</v>
      </c>
      <c r="BC14" s="16">
        <f>IF($D14="是",K14-L14,0)</f>
        <v>2971</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70"/>
      <c r="B15" s="1270"/>
      <c r="C15" s="2926" t="s">
        <v>3095</v>
      </c>
      <c r="D15" s="2206" t="s">
        <v>3083</v>
      </c>
      <c r="E15" s="16">
        <f>IF($C$3="是",ROUND($A$3*G15/$B$3,2),ROUND($A$3*(G15-AT15)/$B$3,2))</f>
        <v>3733.96</v>
      </c>
      <c r="F15" s="32"/>
      <c r="G15" s="33">
        <f>H15+AC15+AT15</f>
        <v>11860.57</v>
      </c>
      <c r="H15" s="20">
        <f>SUMIF(I$12:AB$12,"总值",I15:AB15)</f>
        <v>11860.57</v>
      </c>
      <c r="I15" s="2207"/>
      <c r="J15" s="2207"/>
      <c r="K15" s="2207"/>
      <c r="L15" s="2207"/>
      <c r="M15" s="2207">
        <f>面积表!C10+面积表!C11</f>
        <v>11860.57</v>
      </c>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t="str">
        <f t="shared" si="6"/>
        <v>已建车库</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70"/>
      <c r="B16" s="1270"/>
      <c r="C16" s="2926" t="s">
        <v>3080</v>
      </c>
      <c r="D16" s="2206" t="s">
        <v>3082</v>
      </c>
      <c r="E16" s="16">
        <f>IF($C$3="是",ROUND($A$3*G16/$B$3,2),ROUND($A$3*(G16-AT16)/$B$3,2))</f>
        <v>798.29</v>
      </c>
      <c r="F16" s="32"/>
      <c r="G16" s="33">
        <f>H16+AC16+AT16</f>
        <v>2535.6999999999998</v>
      </c>
      <c r="H16" s="20">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2535.6999999999998</v>
      </c>
      <c r="AD16" s="2208">
        <f>面积表!B10+面积表!H10</f>
        <v>1182.32</v>
      </c>
      <c r="AE16" s="2208"/>
      <c r="AF16" s="2208">
        <f>面积表!D10+面积表!I10-121.22</f>
        <v>903.64999999999986</v>
      </c>
      <c r="AG16" s="2208"/>
      <c r="AH16" s="2964">
        <f>89.96+89.96</f>
        <v>179.92</v>
      </c>
      <c r="AI16" s="2208"/>
      <c r="AJ16" s="2208">
        <f>121.22</f>
        <v>121.22</v>
      </c>
      <c r="AK16" s="2208"/>
      <c r="AL16" s="2208"/>
      <c r="AM16" s="2208"/>
      <c r="AN16" s="2964">
        <f>面积表!N5</f>
        <v>148.59000000000003</v>
      </c>
      <c r="AO16" s="2208"/>
      <c r="AP16" s="2208"/>
      <c r="AQ16" s="2208"/>
      <c r="AR16" s="2208"/>
      <c r="AS16" s="2208"/>
      <c r="AT16" s="2209"/>
      <c r="AU16" s="2210"/>
      <c r="AV16" s="11">
        <f t="shared" si="6"/>
        <v>0</v>
      </c>
      <c r="AW16" s="11">
        <f t="shared" si="6"/>
        <v>0</v>
      </c>
      <c r="AX16" s="11" t="str">
        <f t="shared" si="6"/>
        <v>配套</v>
      </c>
      <c r="AY16" s="1803">
        <f>ROUND($AY$6*AZ16/$AZ$5,2)</f>
        <v>798.29</v>
      </c>
      <c r="AZ16" s="16">
        <f>BA16+BL16</f>
        <v>2535.6999999999998</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2535.6999999999998</v>
      </c>
      <c r="BM16" s="16">
        <f>IF($D16="是",AD16-AE16,0)</f>
        <v>1182.32</v>
      </c>
      <c r="BN16" s="16">
        <f>IF($D16="是",AF16-AG16,0)</f>
        <v>903.64999999999986</v>
      </c>
      <c r="BO16" s="16">
        <f>IF($D16="是",AH16-AI16,0)</f>
        <v>179.92</v>
      </c>
      <c r="BP16" s="16">
        <f>IF($D16="是",AJ16-AK16,0)</f>
        <v>121.22</v>
      </c>
      <c r="BQ16" s="16">
        <f>IF($D16="是",AL16-AM16,0)</f>
        <v>0</v>
      </c>
      <c r="BR16" s="16">
        <f>IF($D16="是",AN16-AO16,0)</f>
        <v>148.59000000000003</v>
      </c>
      <c r="BS16" s="16">
        <f>IF($D16="是",AP16-AQ16,0)</f>
        <v>0</v>
      </c>
      <c r="BT16" s="22">
        <f>IF($D16="是",AR16-AS16,0)</f>
        <v>0</v>
      </c>
    </row>
    <row r="17" spans="1:72" s="2160" customFormat="1" ht="12.75">
      <c r="A17" s="1270"/>
      <c r="B17" s="1270"/>
      <c r="C17" s="2926" t="s">
        <v>3174</v>
      </c>
      <c r="D17" s="2206" t="s">
        <v>3082</v>
      </c>
      <c r="E17" s="16">
        <f>IF($C$3="是",ROUND($A$3*G17/$B$3,2),ROUND($A$3*(G17-AT17)/$B$3,2))</f>
        <v>1630.35</v>
      </c>
      <c r="F17" s="32"/>
      <c r="G17" s="33">
        <f>H17+AC17+AT17</f>
        <v>5178.66</v>
      </c>
      <c r="H17" s="20">
        <f>SUMIF(I$12:AB$12,"总值",I17:AB17)</f>
        <v>5178.66</v>
      </c>
      <c r="I17" s="2207"/>
      <c r="J17" s="2207"/>
      <c r="K17" s="2207"/>
      <c r="L17" s="2207"/>
      <c r="M17" s="2207"/>
      <c r="N17" s="2207"/>
      <c r="O17" s="2207">
        <f>面积表!J11-面积表!J8</f>
        <v>5178.66</v>
      </c>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t="str">
        <f t="shared" si="6"/>
        <v>未建商业</v>
      </c>
      <c r="AY17" s="1803">
        <f>ROUND($AY$6*AZ17/$AZ$5,2)</f>
        <v>1630.35</v>
      </c>
      <c r="AZ17" s="16">
        <f>BA17+BL17</f>
        <v>5178.66</v>
      </c>
      <c r="BA17" s="16">
        <f>SUM(BB17:BK17)</f>
        <v>5178.66</v>
      </c>
      <c r="BB17" s="16">
        <f>IF($D17="是",I17-J17,0)</f>
        <v>0</v>
      </c>
      <c r="BC17" s="16">
        <f>IF($D17="是",K17-L17,0)</f>
        <v>0</v>
      </c>
      <c r="BD17" s="16">
        <f>IF($D17="是",M17-N17,0)</f>
        <v>0</v>
      </c>
      <c r="BE17" s="16">
        <f>IF($D17="是",O17-P17,0)</f>
        <v>5178.66</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27" t="s">
        <v>3090</v>
      </c>
      <c r="D18" s="2211" t="s">
        <v>3082</v>
      </c>
      <c r="E18" s="35">
        <f t="shared" ref="E18:E112" si="7">IF($C$3="是",ROUND($A$3*G18/$B$3,2),ROUND($A$3*(G18-AT18)/$B$3,2))</f>
        <v>66.790000000000006</v>
      </c>
      <c r="F18" s="36"/>
      <c r="G18" s="37">
        <f t="shared" ref="G18:G109" si="8">H18+AC18+AT18</f>
        <v>212.16</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212.16</v>
      </c>
      <c r="AD18" s="40"/>
      <c r="AE18" s="40"/>
      <c r="AF18" s="40"/>
      <c r="AG18" s="40"/>
      <c r="AH18" s="40"/>
      <c r="AI18" s="40"/>
      <c r="AJ18" s="40"/>
      <c r="AK18" s="40"/>
      <c r="AL18" s="40">
        <f>面积表!B12</f>
        <v>212.16</v>
      </c>
      <c r="AM18" s="40"/>
      <c r="AN18" s="40"/>
      <c r="AO18" s="40"/>
      <c r="AP18" s="40"/>
      <c r="AQ18" s="40"/>
      <c r="AR18" s="40"/>
      <c r="AS18" s="40"/>
      <c r="AT18" s="41"/>
      <c r="AU18" s="2212"/>
      <c r="AV18" s="1792">
        <f t="shared" ref="AV18:AV112" si="11">A18</f>
        <v>0</v>
      </c>
      <c r="AW18" s="1792">
        <f t="shared" ref="AW18:AW112" si="12">B18</f>
        <v>0</v>
      </c>
      <c r="AX18" s="1792" t="str">
        <f t="shared" ref="AX18:AX112" si="13">C18</f>
        <v>交换站</v>
      </c>
      <c r="AY18" s="42">
        <f t="shared" ref="AY18:AY109" si="14">ROUND($AY$6*AZ18/$AZ$5,2)</f>
        <v>66.790000000000006</v>
      </c>
      <c r="AZ18" s="35">
        <f t="shared" ref="AZ18:AZ109" si="15">BA18+BL18</f>
        <v>212.16</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212.16</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212.16</v>
      </c>
      <c r="BR18" s="35">
        <f t="shared" ref="BR18:BR109" si="33">IF($D18="是",AN18-AO18,0)</f>
        <v>0</v>
      </c>
      <c r="BS18" s="35">
        <f t="shared" ref="BS18:BS109" si="34">IF($D18="是",AP18-AQ18,0)</f>
        <v>0</v>
      </c>
      <c r="BT18" s="43">
        <f t="shared" ref="BT18:BT109" si="35">IF($D18="是",AR18-AS18,0)</f>
        <v>0</v>
      </c>
    </row>
    <row r="19" spans="1:72">
      <c r="A19" s="9"/>
      <c r="B19" s="34"/>
      <c r="C19" s="2927" t="s">
        <v>3092</v>
      </c>
      <c r="D19" s="2211" t="s">
        <v>3082</v>
      </c>
      <c r="E19" s="35">
        <f t="shared" si="7"/>
        <v>10362.14</v>
      </c>
      <c r="F19" s="36"/>
      <c r="G19" s="37">
        <f t="shared" si="8"/>
        <v>32914.340000000004</v>
      </c>
      <c r="H19" s="38">
        <f t="shared" si="9"/>
        <v>32914.340000000004</v>
      </c>
      <c r="I19" s="39">
        <f>面积表!H5+面积表!H6+面积表!H7</f>
        <v>32914.340000000004</v>
      </c>
      <c r="J19" s="39">
        <f>面积表!H8</f>
        <v>0</v>
      </c>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2">
        <f t="shared" si="11"/>
        <v>0</v>
      </c>
      <c r="AW19" s="1792">
        <f t="shared" si="12"/>
        <v>0</v>
      </c>
      <c r="AX19" s="1792" t="str">
        <f t="shared" si="13"/>
        <v>未建住宅</v>
      </c>
      <c r="AY19" s="42">
        <f t="shared" si="14"/>
        <v>10362.14</v>
      </c>
      <c r="AZ19" s="35">
        <f t="shared" si="15"/>
        <v>32914.340000000004</v>
      </c>
      <c r="BA19" s="35">
        <f t="shared" si="16"/>
        <v>32914.340000000004</v>
      </c>
      <c r="BB19" s="35">
        <f t="shared" si="17"/>
        <v>32914.340000000004</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27" t="s">
        <v>3096</v>
      </c>
      <c r="D20" s="2211" t="s">
        <v>3082</v>
      </c>
      <c r="E20" s="35">
        <f t="shared" si="7"/>
        <v>2365.46</v>
      </c>
      <c r="F20" s="36"/>
      <c r="G20" s="37">
        <f t="shared" si="8"/>
        <v>7513.65</v>
      </c>
      <c r="H20" s="38">
        <f t="shared" si="9"/>
        <v>7513.65</v>
      </c>
      <c r="I20" s="39"/>
      <c r="J20" s="39"/>
      <c r="K20" s="39"/>
      <c r="L20" s="39"/>
      <c r="M20" s="39">
        <f>面积表!I9</f>
        <v>7513.65</v>
      </c>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2">
        <f t="shared" si="11"/>
        <v>0</v>
      </c>
      <c r="AW20" s="1792">
        <f t="shared" si="12"/>
        <v>0</v>
      </c>
      <c r="AX20" s="1792" t="str">
        <f t="shared" si="13"/>
        <v>未建车库</v>
      </c>
      <c r="AY20" s="42">
        <f t="shared" si="14"/>
        <v>2365.46</v>
      </c>
      <c r="AZ20" s="35">
        <f t="shared" si="15"/>
        <v>7513.65</v>
      </c>
      <c r="BA20" s="35">
        <f t="shared" si="16"/>
        <v>7513.65</v>
      </c>
      <c r="BB20" s="35">
        <f t="shared" si="17"/>
        <v>0</v>
      </c>
      <c r="BC20" s="35">
        <f t="shared" si="18"/>
        <v>0</v>
      </c>
      <c r="BD20" s="35">
        <f t="shared" si="19"/>
        <v>7513.65</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42.75">
      <c r="A21" s="9"/>
      <c r="B21" s="34"/>
      <c r="C21" s="2927" t="s">
        <v>3193</v>
      </c>
      <c r="D21" s="2211" t="s">
        <v>3082</v>
      </c>
      <c r="E21" s="35">
        <f t="shared" si="7"/>
        <v>869.23</v>
      </c>
      <c r="F21" s="36"/>
      <c r="G21" s="37">
        <f t="shared" si="8"/>
        <v>2761.03</v>
      </c>
      <c r="H21" s="38">
        <f t="shared" si="9"/>
        <v>2761.03</v>
      </c>
      <c r="I21" s="39"/>
      <c r="J21" s="39"/>
      <c r="K21" s="39"/>
      <c r="L21" s="39"/>
      <c r="M21" s="39"/>
      <c r="N21" s="39"/>
      <c r="O21" s="39">
        <f>面积表!J8</f>
        <v>2761.03</v>
      </c>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2">
        <f t="shared" si="11"/>
        <v>0</v>
      </c>
      <c r="AW21" s="1792">
        <f t="shared" si="12"/>
        <v>0</v>
      </c>
      <c r="AX21" s="1792" t="str">
        <f t="shared" si="13"/>
        <v>已建商业（售楼处）</v>
      </c>
      <c r="AY21" s="42">
        <f t="shared" si="14"/>
        <v>869.23</v>
      </c>
      <c r="AZ21" s="35">
        <f t="shared" si="15"/>
        <v>2761.03</v>
      </c>
      <c r="BA21" s="35">
        <f t="shared" si="16"/>
        <v>2761.03</v>
      </c>
      <c r="BB21" s="35">
        <f t="shared" si="17"/>
        <v>0</v>
      </c>
      <c r="BC21" s="35">
        <f t="shared" si="18"/>
        <v>0</v>
      </c>
      <c r="BD21" s="35">
        <f t="shared" si="19"/>
        <v>0</v>
      </c>
      <c r="BE21" s="35">
        <f t="shared" si="20"/>
        <v>2761.03</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6" t="s">
        <v>0</v>
      </c>
      <c r="B1" s="3066" t="s">
        <v>4</v>
      </c>
      <c r="C1" s="3066" t="s">
        <v>5</v>
      </c>
      <c r="D1" s="3067" t="s">
        <v>53</v>
      </c>
      <c r="E1" s="3067" t="s">
        <v>54</v>
      </c>
      <c r="F1" s="3067"/>
      <c r="G1" s="3067"/>
      <c r="H1" s="3067"/>
      <c r="I1" s="3067"/>
      <c r="J1" s="3067"/>
      <c r="K1" s="3067"/>
      <c r="L1" s="3067"/>
      <c r="M1" s="3067"/>
    </row>
    <row r="2" spans="1:13" ht="27" customHeight="1">
      <c r="A2" s="3066"/>
      <c r="B2" s="3066"/>
      <c r="C2" s="3066"/>
      <c r="D2" s="3067"/>
      <c r="E2" s="3067" t="s">
        <v>37</v>
      </c>
      <c r="F2" s="3067" t="s">
        <v>38</v>
      </c>
      <c r="G2" s="3067"/>
      <c r="H2" s="3067"/>
      <c r="I2" s="3067"/>
      <c r="J2" s="3067" t="s">
        <v>39</v>
      </c>
      <c r="K2" s="3067"/>
      <c r="L2" s="3067"/>
      <c r="M2" s="3067"/>
    </row>
    <row r="3" spans="1:13" ht="28.5">
      <c r="A3" s="3066"/>
      <c r="B3" s="3066"/>
      <c r="C3" s="3066"/>
      <c r="D3" s="3067"/>
      <c r="E3" s="306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7" t="s">
        <v>55</v>
      </c>
      <c r="B9" s="3067"/>
      <c r="C9" s="306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F19" sqref="F19"/>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1941</v>
      </c>
      <c r="B1" s="1389"/>
      <c r="C1" s="1389"/>
      <c r="D1" s="1389"/>
      <c r="E1" s="1389"/>
      <c r="F1" s="1389"/>
      <c r="G1" s="1389"/>
      <c r="H1" s="1389"/>
      <c r="I1" s="1389"/>
      <c r="J1" s="1389"/>
      <c r="K1" s="1389"/>
      <c r="L1" s="1389"/>
      <c r="M1" s="1389"/>
      <c r="N1" s="1389"/>
      <c r="O1" s="1389"/>
      <c r="P1" s="1389"/>
    </row>
    <row r="2" spans="1:16" ht="15">
      <c r="A2" s="3077" t="s">
        <v>1942</v>
      </c>
      <c r="B2" s="3077"/>
      <c r="C2" s="3077"/>
      <c r="D2" s="965" t="s">
        <v>1918</v>
      </c>
      <c r="E2" s="2220" t="s">
        <v>1919</v>
      </c>
      <c r="F2" s="1389"/>
      <c r="G2" s="2221"/>
      <c r="H2" s="2222"/>
      <c r="I2" s="2223" t="s">
        <v>1943</v>
      </c>
      <c r="J2" s="1389"/>
      <c r="K2" s="1389"/>
      <c r="L2" s="1389"/>
      <c r="M2" s="1389"/>
      <c r="N2" s="1424"/>
      <c r="O2" s="1389"/>
      <c r="P2" s="1389"/>
    </row>
    <row r="3" spans="1:16" ht="15.75" thickBot="1">
      <c r="A3" s="3078" t="s">
        <v>1916</v>
      </c>
      <c r="B3" s="3078"/>
      <c r="C3" s="3078"/>
      <c r="D3" s="46">
        <f>'数据-基础表'!AY6</f>
        <v>21196.98</v>
      </c>
      <c r="E3" s="46">
        <f>'数据-基础表'!AZ5</f>
        <v>67330.170000000013</v>
      </c>
      <c r="F3" s="1389"/>
      <c r="G3" s="1396"/>
      <c r="H3" s="1245" t="s">
        <v>1917</v>
      </c>
      <c r="I3" s="54">
        <f>ROUND('数据-基础表'!B3/'数据-基础表'!A3,2)</f>
        <v>3.18</v>
      </c>
      <c r="J3" s="1389"/>
      <c r="K3" s="1389"/>
      <c r="L3" s="1389"/>
      <c r="M3" s="1389"/>
      <c r="N3" s="1424"/>
      <c r="O3" s="1389"/>
      <c r="P3" s="1389"/>
    </row>
    <row r="4" spans="1:16" ht="15">
      <c r="A4" s="3079"/>
      <c r="B4" s="3080"/>
      <c r="C4" s="3081"/>
      <c r="D4" s="2224" t="s">
        <v>1918</v>
      </c>
      <c r="E4" s="2225" t="s">
        <v>1919</v>
      </c>
      <c r="F4" s="1389"/>
      <c r="G4" s="2226" t="s">
        <v>1944</v>
      </c>
      <c r="H4" s="1245" t="s">
        <v>1924</v>
      </c>
      <c r="I4" s="54">
        <f>ROUND(SUMIF('数据-基础表'!I9:AS9,"地上",'数据-基础表'!I5:AS5)/'数据-基础表'!A3,2)</f>
        <v>2.54</v>
      </c>
      <c r="J4" s="1389"/>
      <c r="K4" s="1389"/>
      <c r="L4" s="1389"/>
      <c r="M4" s="1389"/>
      <c r="N4" s="1424"/>
      <c r="O4" s="1389"/>
      <c r="P4" s="1389"/>
    </row>
    <row r="5" spans="1:16">
      <c r="A5" s="47" t="s">
        <v>1920</v>
      </c>
      <c r="B5" s="3082" t="s">
        <v>1921</v>
      </c>
      <c r="C5" s="3082"/>
      <c r="D5" s="48">
        <f>ROUND($D$3*E5/$E$3,2)</f>
        <v>14531.52</v>
      </c>
      <c r="E5" s="49">
        <f>SUMIF('数据-基础表'!$11:$11,"住宅",'数据-基础表'!$5:$5)</f>
        <v>46157.97</v>
      </c>
      <c r="F5" s="1389"/>
      <c r="G5" s="1396"/>
      <c r="H5" s="1245" t="s">
        <v>1917</v>
      </c>
      <c r="I5" s="54">
        <f>ROUND(E31/D31,2)</f>
        <v>3.18</v>
      </c>
      <c r="J5" s="1389"/>
      <c r="K5" s="1389"/>
      <c r="L5" s="1389"/>
      <c r="M5" s="1389"/>
      <c r="N5" s="1389"/>
      <c r="O5" s="1389"/>
      <c r="P5" s="1389"/>
    </row>
    <row r="6" spans="1:16" ht="15" thickBot="1">
      <c r="A6" s="2227"/>
      <c r="B6" s="3082" t="s">
        <v>1922</v>
      </c>
      <c r="C6" s="3082"/>
      <c r="D6" s="48">
        <f>ROUND($D$3*E6/$E$3,2)</f>
        <v>6665.46</v>
      </c>
      <c r="E6" s="49">
        <f>E3-E5</f>
        <v>21172.200000000012</v>
      </c>
      <c r="F6" s="1389"/>
      <c r="G6" s="2228" t="s">
        <v>1923</v>
      </c>
      <c r="H6" s="1396" t="s">
        <v>1924</v>
      </c>
      <c r="I6" s="937">
        <f>ROUND(F31/D31,2)</f>
        <v>2.63</v>
      </c>
      <c r="J6" s="1389"/>
      <c r="K6" s="1389"/>
      <c r="L6" s="1389"/>
      <c r="M6" s="1389"/>
      <c r="N6" s="1389"/>
      <c r="O6" s="1389"/>
      <c r="P6" s="1389"/>
    </row>
    <row r="7" spans="1:16" ht="15">
      <c r="A7" s="3074"/>
      <c r="B7" s="3075"/>
      <c r="C7" s="3076"/>
      <c r="D7" s="2224" t="s">
        <v>1918</v>
      </c>
      <c r="E7" s="2229" t="s">
        <v>1925</v>
      </c>
      <c r="F7" s="1389"/>
      <c r="G7" s="2221" t="s">
        <v>1926</v>
      </c>
      <c r="H7" s="63"/>
      <c r="I7" s="418">
        <f>I6</f>
        <v>2.63</v>
      </c>
      <c r="J7" s="1389"/>
      <c r="K7" s="1389"/>
      <c r="L7" s="1389"/>
      <c r="M7" s="1389"/>
      <c r="N7" s="1389"/>
      <c r="O7" s="1389"/>
      <c r="P7" s="1389"/>
    </row>
    <row r="8" spans="1:16">
      <c r="A8" s="47" t="s">
        <v>1927</v>
      </c>
      <c r="B8" s="50" t="s">
        <v>1928</v>
      </c>
      <c r="C8" s="48" t="s">
        <v>1929</v>
      </c>
      <c r="D8" s="48">
        <f t="shared" ref="D8:D15" si="0">ROUND($D$3*E8/$E$3,2)</f>
        <v>17031.099999999999</v>
      </c>
      <c r="E8" s="51">
        <f>SUMIF('数据-基础表'!BB10:BK10,"地上",'数据-基础表'!BB5:BK5)</f>
        <v>54097.66</v>
      </c>
      <c r="F8" s="1389"/>
      <c r="G8" s="2230"/>
      <c r="H8" s="2230"/>
      <c r="I8" s="1389"/>
      <c r="J8" s="1389"/>
      <c r="K8" s="1389"/>
      <c r="L8" s="1389"/>
      <c r="M8" s="1389"/>
      <c r="N8" s="1389"/>
      <c r="O8" s="1389"/>
      <c r="P8" s="1389"/>
    </row>
    <row r="9" spans="1:16" ht="15">
      <c r="A9" s="2231"/>
      <c r="B9" s="2232"/>
      <c r="C9" s="48" t="s">
        <v>1930</v>
      </c>
      <c r="D9" s="48">
        <f t="shared" si="0"/>
        <v>56.64</v>
      </c>
      <c r="E9" s="2965">
        <f>'数据-基础表'!AH16</f>
        <v>179.92</v>
      </c>
      <c r="F9" s="1389"/>
      <c r="G9" s="2230"/>
      <c r="H9" s="2230"/>
      <c r="I9" s="1389"/>
      <c r="J9" s="1389"/>
      <c r="K9" s="1389"/>
      <c r="L9" s="1389"/>
      <c r="M9" s="1389"/>
      <c r="N9" s="1389"/>
      <c r="O9" s="1389"/>
      <c r="P9" s="1389"/>
    </row>
    <row r="10" spans="1:16">
      <c r="A10" s="2231"/>
      <c r="B10" s="2232"/>
      <c r="C10" s="48" t="s">
        <v>1939</v>
      </c>
      <c r="D10" s="48">
        <f t="shared" si="0"/>
        <v>0</v>
      </c>
      <c r="E10" s="51">
        <f>SUMPRODUCT(('数据-基础表'!BB10:BK10="地下")*('数据-基础表'!BB11:BK11="商业")*('数据-基础表'!BB5:BK5))</f>
        <v>0</v>
      </c>
      <c r="F10" s="1389"/>
      <c r="G10" s="2230"/>
      <c r="H10" s="2230"/>
      <c r="I10" s="1389"/>
      <c r="J10" s="1389"/>
      <c r="K10" s="1389"/>
      <c r="L10" s="1389"/>
      <c r="M10" s="1389"/>
      <c r="N10" s="1389"/>
      <c r="O10" s="1389"/>
      <c r="P10" s="1389"/>
    </row>
    <row r="11" spans="1:16">
      <c r="A11" s="2231"/>
      <c r="B11" s="2232"/>
      <c r="C11" s="48" t="s">
        <v>1931</v>
      </c>
      <c r="D11" s="48">
        <f t="shared" si="0"/>
        <v>38.159999999999997</v>
      </c>
      <c r="E11" s="51">
        <f>SUMPRODUCT(('数据-基础表'!BB10:BK10="地下")*('数据-基础表'!BB11:BK11="办公")*('数据-基础表'!BB5:BK5))+'数据-基础表'!BP5</f>
        <v>121.22</v>
      </c>
      <c r="F11" s="1389"/>
      <c r="G11" s="2230"/>
      <c r="H11" s="2230"/>
      <c r="I11" s="1389"/>
      <c r="J11" s="1389"/>
      <c r="K11" s="1389"/>
      <c r="L11" s="1389"/>
      <c r="M11" s="1389"/>
      <c r="N11" s="1389"/>
      <c r="O11" s="1389"/>
      <c r="P11" s="1389"/>
    </row>
    <row r="12" spans="1:16">
      <c r="A12" s="2231"/>
      <c r="B12" s="2232"/>
      <c r="C12" s="48" t="s">
        <v>1932</v>
      </c>
      <c r="D12" s="48">
        <f t="shared" si="0"/>
        <v>0</v>
      </c>
      <c r="E12" s="51">
        <f>SUMPRODUCT(('数据-基础表'!BB10:BK10="地下")*('数据-基础表'!BB11:BK11="仓储")*('数据-基础表'!BB5:BK5))</f>
        <v>0</v>
      </c>
      <c r="F12" s="1389"/>
      <c r="G12" s="2230"/>
      <c r="H12" s="2230"/>
      <c r="I12" s="1389"/>
      <c r="J12" s="1389"/>
      <c r="K12" s="1389"/>
      <c r="L12" s="1389"/>
      <c r="M12" s="1389"/>
      <c r="N12" s="1389"/>
      <c r="O12" s="1389"/>
      <c r="P12" s="1389"/>
    </row>
    <row r="13" spans="1:16">
      <c r="A13" s="2231"/>
      <c r="B13" s="2232"/>
      <c r="C13" s="48" t="s">
        <v>1933</v>
      </c>
      <c r="D13" s="48">
        <f t="shared" si="0"/>
        <v>3300.79</v>
      </c>
      <c r="E13" s="51">
        <f>SUMPRODUCT(('数据-基础表'!BB10:BK10="地下")*('数据-基础表'!BB11:BK11="车库")*('数据-基础表'!BB5:BK5))</f>
        <v>10484.65</v>
      </c>
      <c r="F13" s="1389"/>
      <c r="G13" s="2230"/>
      <c r="H13" s="2230"/>
      <c r="I13" s="1389"/>
      <c r="J13" s="1389"/>
      <c r="K13" s="1389"/>
      <c r="L13" s="1389"/>
      <c r="M13" s="1389"/>
      <c r="N13" s="1389"/>
      <c r="O13" s="1389"/>
      <c r="P13" s="1389"/>
    </row>
    <row r="14" spans="1:16">
      <c r="A14" s="2231"/>
      <c r="B14" s="2232"/>
      <c r="C14" s="48" t="s">
        <v>1945</v>
      </c>
      <c r="D14" s="48">
        <f t="shared" si="0"/>
        <v>0</v>
      </c>
      <c r="E14" s="51">
        <f>SUMPRODUCT(('数据-基础表'!BB10:BK10="地下")*('数据-基础表'!BB11:BK11="车库—商业")*('数据-基础表'!BB5:BK5))</f>
        <v>0</v>
      </c>
      <c r="F14" s="1389"/>
      <c r="G14" s="2230"/>
      <c r="H14" s="2230"/>
      <c r="I14" s="1389"/>
      <c r="J14" s="1389"/>
      <c r="K14" s="1389"/>
      <c r="L14" s="1389"/>
      <c r="M14" s="1389"/>
      <c r="N14" s="1389"/>
      <c r="O14" s="1389"/>
      <c r="P14" s="1389"/>
    </row>
    <row r="15" spans="1:16" ht="15" thickBot="1">
      <c r="A15" s="2231"/>
      <c r="B15" s="2232"/>
      <c r="C15" s="48" t="s">
        <v>1940</v>
      </c>
      <c r="D15" s="48">
        <f t="shared" si="0"/>
        <v>0</v>
      </c>
      <c r="E15" s="51">
        <f>SUMPRODUCT(('数据-基础表'!BB10:BK10="地下")*('数据-基础表'!BB11:BK11="车库—办公")*('数据-基础表'!BB5:BK5))</f>
        <v>0</v>
      </c>
      <c r="F15" s="1389"/>
      <c r="G15" s="2230"/>
      <c r="H15" s="2230"/>
      <c r="I15" s="1389"/>
      <c r="J15" s="1389"/>
      <c r="K15" s="1389"/>
      <c r="L15" s="1389"/>
      <c r="M15" s="1389"/>
      <c r="N15" s="1389"/>
      <c r="O15" s="1389"/>
      <c r="P15" s="1389"/>
    </row>
    <row r="16" spans="1:16" ht="15.75" thickBot="1">
      <c r="A16" s="2227"/>
      <c r="B16" s="2232"/>
      <c r="C16" s="50" t="s">
        <v>1934</v>
      </c>
      <c r="D16" s="50">
        <f>SUM(D8:D15)</f>
        <v>20426.689999999999</v>
      </c>
      <c r="E16" s="52">
        <f>SUM(E8:E15)</f>
        <v>64883.450000000004</v>
      </c>
      <c r="F16" s="1389"/>
      <c r="G16" s="2230"/>
      <c r="H16" s="2233" t="s">
        <v>1946</v>
      </c>
      <c r="I16" s="2234"/>
      <c r="J16" s="1389"/>
      <c r="K16" s="3071" t="s">
        <v>1946</v>
      </c>
      <c r="L16" s="3072"/>
      <c r="M16" s="3072"/>
      <c r="N16" s="3072"/>
      <c r="O16" s="3072"/>
      <c r="P16" s="3073"/>
    </row>
    <row r="17" spans="1:19" ht="15">
      <c r="A17" s="2235" t="s">
        <v>1947</v>
      </c>
      <c r="B17" s="2236" t="s">
        <v>1948</v>
      </c>
      <c r="C17" s="2237" t="s">
        <v>1949</v>
      </c>
      <c r="D17" s="2238" t="s">
        <v>1937</v>
      </c>
      <c r="E17" s="2239" t="s">
        <v>1938</v>
      </c>
      <c r="F17" s="2240"/>
      <c r="G17" s="2241"/>
      <c r="H17" s="2242" t="s">
        <v>1950</v>
      </c>
      <c r="I17" s="2243" t="s">
        <v>1935</v>
      </c>
      <c r="J17" s="1389"/>
      <c r="K17" s="3068" t="s">
        <v>1951</v>
      </c>
      <c r="L17" s="3069"/>
      <c r="M17" s="3070"/>
      <c r="N17" s="3068" t="s">
        <v>1952</v>
      </c>
      <c r="O17" s="3069"/>
      <c r="P17" s="3070"/>
      <c r="R17" s="2221" t="s">
        <v>1953</v>
      </c>
      <c r="S17" s="63"/>
    </row>
    <row r="18" spans="1:19" ht="15">
      <c r="A18" s="2231"/>
      <c r="B18" s="2244"/>
      <c r="C18" s="2245"/>
      <c r="D18" s="2246"/>
      <c r="E18" s="2247" t="s">
        <v>1954</v>
      </c>
      <c r="F18" s="2248" t="s">
        <v>1955</v>
      </c>
      <c r="G18" s="2249" t="s">
        <v>1956</v>
      </c>
      <c r="H18" s="1260" t="s">
        <v>1957</v>
      </c>
      <c r="I18" s="2250" t="s">
        <v>1958</v>
      </c>
      <c r="J18" s="1389"/>
      <c r="K18" s="1260" t="s">
        <v>1959</v>
      </c>
      <c r="L18" s="2251" t="s">
        <v>1960</v>
      </c>
      <c r="M18" s="1044" t="s">
        <v>1961</v>
      </c>
      <c r="N18" s="1260" t="s">
        <v>1959</v>
      </c>
      <c r="O18" s="2251" t="s">
        <v>1960</v>
      </c>
      <c r="P18" s="1044" t="s">
        <v>1961</v>
      </c>
      <c r="R18" s="1245" t="s">
        <v>1962</v>
      </c>
      <c r="S18" s="1245" t="s">
        <v>1963</v>
      </c>
    </row>
    <row r="19" spans="1:19">
      <c r="A19" s="2252"/>
      <c r="B19" s="50" t="s">
        <v>1936</v>
      </c>
      <c r="C19" s="2928" t="s">
        <v>3093</v>
      </c>
      <c r="D19" s="48">
        <f>ROUND($D$3*E19/$E$3,2)</f>
        <v>4169.38</v>
      </c>
      <c r="E19" s="55">
        <f t="shared" ref="E19:E26" si="1">SUM(F19:G19)</f>
        <v>13243.629999999997</v>
      </c>
      <c r="F19" s="56">
        <f>'数据-基础表'!I13-'数据-基础表'!J13</f>
        <v>13243.629999999997</v>
      </c>
      <c r="G19" s="57"/>
      <c r="H19" s="721">
        <f>ROUND($D$3*I19/$E$3,2)</f>
        <v>238.91</v>
      </c>
      <c r="I19" s="51">
        <f t="shared" ref="I19:I26" si="2">IF($I$17="自定义",P19,M19)</f>
        <v>758.89</v>
      </c>
      <c r="J19" s="1389"/>
      <c r="K19" s="1388">
        <f t="shared" ref="K19:K26" si="3">ROUND(E$28*E19/E$27,2)</f>
        <v>73.98</v>
      </c>
      <c r="L19" s="1245">
        <f t="shared" ref="L19:L26" si="4">ROUND(IF(COUNTIF(C19,"*住宅*")&gt;0,E$29*E19/E$32,0),2)</f>
        <v>684.91</v>
      </c>
      <c r="M19" s="1400">
        <f>K19+L19</f>
        <v>758.89</v>
      </c>
      <c r="N19" s="2253"/>
      <c r="O19" s="2254"/>
      <c r="P19" s="1400">
        <f>N19+O19</f>
        <v>0</v>
      </c>
      <c r="R19" s="1245">
        <f t="shared" ref="R19:S26" si="5">D19+H19</f>
        <v>4408.29</v>
      </c>
      <c r="S19" s="1246">
        <f t="shared" si="5"/>
        <v>14002.519999999997</v>
      </c>
    </row>
    <row r="20" spans="1:19">
      <c r="A20" s="2255"/>
      <c r="B20" s="50" t="s">
        <v>1964</v>
      </c>
      <c r="C20" s="2928" t="s">
        <v>3094</v>
      </c>
      <c r="D20" s="48">
        <f t="shared" ref="D20:D26" si="6">ROUND($D$3*E20/$E$3,2)</f>
        <v>10362.14</v>
      </c>
      <c r="E20" s="55">
        <f t="shared" si="1"/>
        <v>32914.340000000004</v>
      </c>
      <c r="F20" s="56">
        <f>'数据-基础表'!I19-'数据-基础表'!J19</f>
        <v>32914.340000000004</v>
      </c>
      <c r="G20" s="57"/>
      <c r="H20" s="721">
        <f t="shared" ref="H20:H26" si="7">ROUND($D$3*I20/$E$3,2)</f>
        <v>593.77</v>
      </c>
      <c r="I20" s="51">
        <f t="shared" si="2"/>
        <v>1886.06</v>
      </c>
      <c r="J20" s="1389"/>
      <c r="K20" s="1388">
        <f t="shared" si="3"/>
        <v>183.86</v>
      </c>
      <c r="L20" s="1245">
        <f t="shared" si="4"/>
        <v>1702.2</v>
      </c>
      <c r="M20" s="1400">
        <f t="shared" ref="M20:M26" si="8">K20+L20</f>
        <v>1886.06</v>
      </c>
      <c r="N20" s="2253"/>
      <c r="O20" s="2254"/>
      <c r="P20" s="1400">
        <f t="shared" ref="P20:P26" si="9">N20+O20</f>
        <v>0</v>
      </c>
      <c r="R20" s="1245">
        <f t="shared" si="5"/>
        <v>10955.91</v>
      </c>
      <c r="S20" s="1246">
        <f t="shared" si="5"/>
        <v>34800.400000000001</v>
      </c>
    </row>
    <row r="21" spans="1:19">
      <c r="A21" s="2255"/>
      <c r="B21" s="50" t="s">
        <v>1964</v>
      </c>
      <c r="C21" s="2928" t="s">
        <v>3097</v>
      </c>
      <c r="D21" s="48">
        <f t="shared" si="6"/>
        <v>2365.46</v>
      </c>
      <c r="E21" s="55">
        <f t="shared" si="1"/>
        <v>7513.65</v>
      </c>
      <c r="F21" s="56"/>
      <c r="G21" s="57">
        <f>'数据-基础表'!M20</f>
        <v>7513.65</v>
      </c>
      <c r="H21" s="721">
        <f t="shared" si="7"/>
        <v>13.21</v>
      </c>
      <c r="I21" s="51">
        <f t="shared" si="2"/>
        <v>41.97</v>
      </c>
      <c r="J21" s="1389"/>
      <c r="K21" s="1388">
        <f t="shared" si="3"/>
        <v>41.97</v>
      </c>
      <c r="L21" s="1245">
        <f t="shared" si="4"/>
        <v>0</v>
      </c>
      <c r="M21" s="1400">
        <f t="shared" si="8"/>
        <v>41.97</v>
      </c>
      <c r="N21" s="2253"/>
      <c r="O21" s="2254"/>
      <c r="P21" s="1400">
        <f t="shared" si="9"/>
        <v>0</v>
      </c>
      <c r="R21" s="1245">
        <f t="shared" si="5"/>
        <v>2378.67</v>
      </c>
      <c r="S21" s="1246">
        <f t="shared" si="5"/>
        <v>7555.62</v>
      </c>
    </row>
    <row r="22" spans="1:19">
      <c r="A22" s="2255"/>
      <c r="B22" s="50" t="s">
        <v>1964</v>
      </c>
      <c r="C22" s="2929" t="s">
        <v>3098</v>
      </c>
      <c r="D22" s="48">
        <f t="shared" si="6"/>
        <v>935.33</v>
      </c>
      <c r="E22" s="55">
        <f t="shared" si="1"/>
        <v>2971</v>
      </c>
      <c r="F22" s="60"/>
      <c r="G22" s="61">
        <f>'数据-基础表'!K14-'数据-基础表'!L14</f>
        <v>2971</v>
      </c>
      <c r="H22" s="721">
        <f t="shared" si="7"/>
        <v>5.23</v>
      </c>
      <c r="I22" s="51">
        <f t="shared" si="2"/>
        <v>16.600000000000001</v>
      </c>
      <c r="J22" s="1389"/>
      <c r="K22" s="1388">
        <f t="shared" si="3"/>
        <v>16.600000000000001</v>
      </c>
      <c r="L22" s="1245">
        <f t="shared" si="4"/>
        <v>0</v>
      </c>
      <c r="M22" s="1400">
        <f t="shared" si="8"/>
        <v>16.600000000000001</v>
      </c>
      <c r="N22" s="2253"/>
      <c r="O22" s="2254"/>
      <c r="P22" s="1400">
        <f t="shared" si="9"/>
        <v>0</v>
      </c>
      <c r="R22" s="1245">
        <f t="shared" si="5"/>
        <v>940.56000000000006</v>
      </c>
      <c r="S22" s="1246">
        <f t="shared" si="5"/>
        <v>2987.6</v>
      </c>
    </row>
    <row r="23" spans="1:19">
      <c r="A23" s="2255"/>
      <c r="B23" s="50" t="s">
        <v>1964</v>
      </c>
      <c r="C23" s="2929" t="s">
        <v>3176</v>
      </c>
      <c r="D23" s="48">
        <f>ROUND($D$3*E23/$E$3,2)</f>
        <v>1630.35</v>
      </c>
      <c r="E23" s="55">
        <f>SUM(F23:G23)</f>
        <v>5178.66</v>
      </c>
      <c r="F23" s="60">
        <f>'数据-基础表'!O17-'数据-基础表'!P17</f>
        <v>5178.66</v>
      </c>
      <c r="G23" s="61"/>
      <c r="H23" s="721">
        <f>ROUND($D$3*I23/$E$3,2)</f>
        <v>9.11</v>
      </c>
      <c r="I23" s="51">
        <f t="shared" si="2"/>
        <v>28.93</v>
      </c>
      <c r="J23" s="1389"/>
      <c r="K23" s="1388">
        <f t="shared" si="3"/>
        <v>28.93</v>
      </c>
      <c r="L23" s="1245">
        <f t="shared" si="4"/>
        <v>0</v>
      </c>
      <c r="M23" s="1400">
        <f t="shared" si="8"/>
        <v>28.93</v>
      </c>
      <c r="N23" s="2253"/>
      <c r="O23" s="2254"/>
      <c r="P23" s="1400">
        <f t="shared" si="9"/>
        <v>0</v>
      </c>
      <c r="R23" s="1245">
        <f t="shared" si="5"/>
        <v>1639.4599999999998</v>
      </c>
      <c r="S23" s="1246">
        <f t="shared" si="5"/>
        <v>5207.59</v>
      </c>
    </row>
    <row r="24" spans="1:19">
      <c r="A24" s="2255"/>
      <c r="B24" s="50" t="s">
        <v>1964</v>
      </c>
      <c r="C24" s="2929" t="s">
        <v>3194</v>
      </c>
      <c r="D24" s="48">
        <f>ROUND($D$3*E24/$E$3,2)</f>
        <v>869.23</v>
      </c>
      <c r="E24" s="55">
        <f>SUM(F24:G24)</f>
        <v>2761.03</v>
      </c>
      <c r="F24" s="60">
        <f>'数据-基础表'!O21</f>
        <v>2761.03</v>
      </c>
      <c r="G24" s="61"/>
      <c r="H24" s="721">
        <f>ROUND($D$3*I24/$E$3,2)</f>
        <v>4.8499999999999996</v>
      </c>
      <c r="I24" s="51">
        <f t="shared" si="2"/>
        <v>15.42</v>
      </c>
      <c r="J24" s="1389"/>
      <c r="K24" s="1388">
        <f t="shared" si="3"/>
        <v>15.42</v>
      </c>
      <c r="L24" s="1245">
        <f t="shared" si="4"/>
        <v>0</v>
      </c>
      <c r="M24" s="1400">
        <f t="shared" si="8"/>
        <v>15.42</v>
      </c>
      <c r="N24" s="2253"/>
      <c r="O24" s="2254"/>
      <c r="P24" s="1400">
        <f t="shared" si="9"/>
        <v>0</v>
      </c>
      <c r="R24" s="1245">
        <f t="shared" si="5"/>
        <v>874.08</v>
      </c>
      <c r="S24" s="1246">
        <f t="shared" si="5"/>
        <v>2776.4500000000003</v>
      </c>
    </row>
    <row r="25" spans="1:19">
      <c r="A25" s="2255"/>
      <c r="B25" s="50" t="s">
        <v>1964</v>
      </c>
      <c r="C25" s="59"/>
      <c r="D25" s="48">
        <f t="shared" si="6"/>
        <v>0</v>
      </c>
      <c r="E25" s="55">
        <f t="shared" si="1"/>
        <v>0</v>
      </c>
      <c r="F25" s="60"/>
      <c r="G25" s="61"/>
      <c r="H25" s="47">
        <f t="shared" si="7"/>
        <v>0</v>
      </c>
      <c r="I25" s="51">
        <f t="shared" si="2"/>
        <v>0</v>
      </c>
      <c r="J25" s="1389"/>
      <c r="K25" s="1388">
        <f t="shared" si="3"/>
        <v>0</v>
      </c>
      <c r="L25" s="1245">
        <f t="shared" si="4"/>
        <v>0</v>
      </c>
      <c r="M25" s="1400">
        <f t="shared" si="8"/>
        <v>0</v>
      </c>
      <c r="N25" s="2253"/>
      <c r="O25" s="2254"/>
      <c r="P25" s="1400">
        <f t="shared" si="9"/>
        <v>0</v>
      </c>
      <c r="R25" s="1245">
        <f t="shared" si="5"/>
        <v>0</v>
      </c>
      <c r="S25" s="1246">
        <f t="shared" si="5"/>
        <v>0</v>
      </c>
    </row>
    <row r="26" spans="1:19">
      <c r="A26" s="2255"/>
      <c r="B26" s="50" t="s">
        <v>1964</v>
      </c>
      <c r="C26" s="62"/>
      <c r="D26" s="48">
        <f t="shared" si="6"/>
        <v>0</v>
      </c>
      <c r="E26" s="55">
        <f t="shared" si="1"/>
        <v>0</v>
      </c>
      <c r="F26" s="60"/>
      <c r="G26" s="61"/>
      <c r="H26" s="47">
        <f t="shared" si="7"/>
        <v>0</v>
      </c>
      <c r="I26" s="51">
        <f t="shared" si="2"/>
        <v>0</v>
      </c>
      <c r="J26" s="1389"/>
      <c r="K26" s="1395">
        <f t="shared" si="3"/>
        <v>0</v>
      </c>
      <c r="L26" s="1396">
        <f t="shared" si="4"/>
        <v>0</v>
      </c>
      <c r="M26" s="66">
        <f t="shared" si="8"/>
        <v>0</v>
      </c>
      <c r="N26" s="2256"/>
      <c r="O26" s="2257"/>
      <c r="P26" s="66">
        <f t="shared" si="9"/>
        <v>0</v>
      </c>
      <c r="R26" s="1245">
        <f t="shared" si="5"/>
        <v>0</v>
      </c>
      <c r="S26" s="1246">
        <f t="shared" si="5"/>
        <v>0</v>
      </c>
    </row>
    <row r="27" spans="1:19" ht="29.25" thickBot="1">
      <c r="A27" s="2255"/>
      <c r="B27" s="48"/>
      <c r="C27" s="2258" t="s">
        <v>1965</v>
      </c>
      <c r="D27" s="1390">
        <f>SUM(D19:D26)</f>
        <v>20331.89</v>
      </c>
      <c r="E27" s="1391">
        <f>IF(SUM(E19:E26)='数据-基础表'!BA5,SUM(E19:E26),IF(F27="地上面积有误","面积有误","地下面积有误"))</f>
        <v>64582.31</v>
      </c>
      <c r="F27" s="1390">
        <f>IF(SUM(F19:F26)=E8,SUM(F19:F26),"地上面积有误")</f>
        <v>54097.66</v>
      </c>
      <c r="G27" s="1392">
        <f>SUM(G19:G26)</f>
        <v>10484.65</v>
      </c>
      <c r="H27" s="1393">
        <f>SUM(H19:H26)</f>
        <v>865.08</v>
      </c>
      <c r="I27" s="1394">
        <f>SUM(I19:I26)</f>
        <v>2747.8699999999994</v>
      </c>
      <c r="J27" s="1389"/>
      <c r="K27" s="1397">
        <f>SUM(K19:K26)</f>
        <v>360.7600000000001</v>
      </c>
      <c r="L27" s="1398">
        <f>SUM(L19:L26)</f>
        <v>2387.11</v>
      </c>
      <c r="M27" s="1401">
        <f>SUM(M19:M26)</f>
        <v>2747.8699999999994</v>
      </c>
      <c r="N27" s="1397">
        <f t="shared" ref="N27:O27" si="10">SUM(N19:N26)</f>
        <v>0</v>
      </c>
      <c r="O27" s="1398">
        <f t="shared" si="10"/>
        <v>0</v>
      </c>
      <c r="P27" s="1399">
        <f>SUM(P19:P26)</f>
        <v>0</v>
      </c>
      <c r="R27" s="1247" t="str">
        <f>IF(SUM(R19:R26)=$D$3,SUM(R19:R26),SUM(R19:R26)&amp;"误差"&amp;ROUND(SUM(R19:R26)-$D$3,2))</f>
        <v>21196.97误差-0.01</v>
      </c>
      <c r="S27" s="1245" t="str">
        <f>IF(SUM(S19:S26)=$E$3,SUM(S19:S26),SUM(S19:S26)&amp;"误差"&amp;ROUND(SUM(S19:S26)-E3,2))</f>
        <v>67330.18误差0.01</v>
      </c>
    </row>
    <row r="28" spans="1:19">
      <c r="A28" s="2255"/>
      <c r="B28" s="50" t="s">
        <v>1966</v>
      </c>
      <c r="C28" s="1257" t="s">
        <v>1967</v>
      </c>
      <c r="D28" s="48">
        <f>ROUND($D$3*E28/$E$3,2)</f>
        <v>113.57</v>
      </c>
      <c r="E28" s="55">
        <f>SUM(F28:G28)</f>
        <v>360.75</v>
      </c>
      <c r="F28" s="63">
        <f>'数据-基础表'!BQ5+'数据-基础表'!BS5</f>
        <v>212.16</v>
      </c>
      <c r="G28" s="64">
        <f>'数据-基础表'!BR5+'数据-基础表'!BT5</f>
        <v>148.59000000000003</v>
      </c>
      <c r="H28" s="1389"/>
      <c r="I28" s="1389"/>
      <c r="J28" s="1389"/>
      <c r="K28" s="1389"/>
      <c r="L28" s="1389"/>
      <c r="M28" s="1389"/>
      <c r="N28" s="1389"/>
      <c r="O28" s="1389"/>
      <c r="P28" s="1389"/>
    </row>
    <row r="29" spans="1:19">
      <c r="A29" s="2255"/>
      <c r="B29" s="50" t="s">
        <v>1966</v>
      </c>
      <c r="C29" s="2259" t="s">
        <v>1968</v>
      </c>
      <c r="D29" s="48">
        <f>ROUND($D$3*E29/$E$3,2)</f>
        <v>751.51</v>
      </c>
      <c r="E29" s="55">
        <f>SUM(F29:G29)</f>
        <v>2387.1099999999997</v>
      </c>
      <c r="F29" s="65">
        <f>'数据-基础表'!BM5+'数据-基础表'!BO5</f>
        <v>1362.24</v>
      </c>
      <c r="G29" s="66">
        <f>'数据-基础表'!BN5+'数据-基础表'!BP5</f>
        <v>1024.8699999999999</v>
      </c>
      <c r="H29" s="1389"/>
      <c r="I29" s="1389"/>
      <c r="J29" s="1389"/>
      <c r="K29" s="1389"/>
      <c r="L29" s="1389"/>
      <c r="M29" s="1389"/>
      <c r="N29" s="1389"/>
      <c r="O29" s="1389"/>
      <c r="P29" s="1389"/>
    </row>
    <row r="30" spans="1:19" ht="15">
      <c r="A30" s="2255"/>
      <c r="B30" s="50"/>
      <c r="C30" s="2260" t="s">
        <v>1965</v>
      </c>
      <c r="D30" s="1390">
        <f>SUM(D28:D29)</f>
        <v>865.07999999999993</v>
      </c>
      <c r="E30" s="1390">
        <f>SUM(E28:E29)</f>
        <v>2747.8599999999997</v>
      </c>
      <c r="F30" s="1390">
        <f>SUM(F28:F29)</f>
        <v>1574.4</v>
      </c>
      <c r="G30" s="1392">
        <f>SUM(G28:G29)</f>
        <v>1173.46</v>
      </c>
      <c r="H30" s="1389"/>
      <c r="I30" s="1389"/>
      <c r="J30" s="1389"/>
      <c r="K30" s="1389"/>
      <c r="L30" s="1389"/>
      <c r="M30" s="1389"/>
      <c r="N30" s="1389"/>
      <c r="O30" s="1389"/>
      <c r="P30" s="1389"/>
    </row>
    <row r="31" spans="1:19" ht="15.75" thickBot="1">
      <c r="A31" s="2261"/>
      <c r="B31" s="2262"/>
      <c r="C31" s="1005" t="s">
        <v>1969</v>
      </c>
      <c r="D31" s="726">
        <f>D27+D30</f>
        <v>21196.97</v>
      </c>
      <c r="E31" s="726">
        <f>E27+E30</f>
        <v>67330.17</v>
      </c>
      <c r="F31" s="727">
        <f>F27+F30</f>
        <v>55672.060000000005</v>
      </c>
      <c r="G31" s="728">
        <f>G27+G30</f>
        <v>11658.11</v>
      </c>
      <c r="H31" s="1389"/>
      <c r="I31" s="1389"/>
      <c r="J31" s="1389"/>
      <c r="K31" s="1389"/>
      <c r="L31" s="1389"/>
      <c r="M31" s="1389"/>
      <c r="N31" s="1389"/>
      <c r="O31" s="1389"/>
      <c r="P31" s="1389"/>
    </row>
    <row r="32" spans="1:19">
      <c r="A32" s="2226"/>
      <c r="B32" s="2226" t="s">
        <v>1970</v>
      </c>
      <c r="C32" s="2226"/>
      <c r="D32" s="2226"/>
      <c r="E32" s="1272">
        <f>SUMIF(C19:C26,"*住宅*",E19:E26)</f>
        <v>46157.97</v>
      </c>
      <c r="F32" s="2226"/>
      <c r="G32" s="2226"/>
      <c r="H32" s="1389"/>
      <c r="I32" s="1389"/>
      <c r="J32" s="1389"/>
      <c r="K32" s="1389"/>
      <c r="L32" s="1389"/>
      <c r="M32" s="1389"/>
      <c r="N32" s="1389"/>
      <c r="O32" s="1389"/>
      <c r="P32" s="1389"/>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11" sqref="N11"/>
    </sheetView>
  </sheetViews>
  <sheetFormatPr defaultColWidth="13.75" defaultRowHeight="12.75"/>
  <cols>
    <col min="1" max="1" width="20.875" style="2337" customWidth="1"/>
    <col min="2" max="2" width="12" style="2267" customWidth="1"/>
    <col min="3" max="3" width="10.75" style="2267" customWidth="1"/>
    <col min="4" max="4" width="9.125" style="2338" customWidth="1"/>
    <col min="5" max="5" width="15" style="2267" bestFit="1" customWidth="1"/>
    <col min="6" max="10" width="8.875" style="2267" customWidth="1"/>
    <col min="11" max="12" width="12.375" style="2182"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30" width="6.75" style="2267" customWidth="1"/>
    <col min="31" max="31" width="8" style="2267" customWidth="1"/>
    <col min="32" max="34" width="7.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1971</v>
      </c>
      <c r="B1" s="729"/>
      <c r="C1" s="1578"/>
      <c r="D1" s="2265"/>
      <c r="E1" s="1578"/>
      <c r="F1" s="1578"/>
      <c r="G1" s="1578"/>
      <c r="H1" s="1578"/>
      <c r="I1" s="1578"/>
      <c r="J1" s="1578"/>
      <c r="K1" s="166"/>
      <c r="L1" s="166"/>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68" t="s">
        <v>1972</v>
      </c>
      <c r="B2" s="1264">
        <f>项目基本情况!D3</f>
        <v>43056</v>
      </c>
      <c r="C2" s="2269"/>
      <c r="D2" s="2270"/>
      <c r="E2" s="2269"/>
      <c r="F2" s="2269"/>
      <c r="G2" s="2269"/>
      <c r="H2" s="2269"/>
      <c r="I2" s="2269"/>
      <c r="J2" s="2269"/>
      <c r="K2" s="1424"/>
      <c r="L2" s="1424"/>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8" customFormat="1" ht="15" thickBot="1">
      <c r="A3" s="2026"/>
      <c r="B3" s="2272"/>
      <c r="C3" s="2269"/>
      <c r="D3" s="2270"/>
      <c r="E3" s="2269"/>
      <c r="F3" s="2269"/>
      <c r="G3" s="2269"/>
      <c r="H3" s="2269"/>
      <c r="I3" s="2269"/>
      <c r="J3" s="2269"/>
      <c r="K3" s="1424"/>
      <c r="L3" s="1424"/>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8" customFormat="1" ht="15" thickBot="1">
      <c r="A4" s="67" t="s">
        <v>1973</v>
      </c>
      <c r="B4" s="2273"/>
      <c r="C4" s="2274"/>
      <c r="D4" s="2275"/>
      <c r="E4" s="2274" t="s">
        <v>1974</v>
      </c>
      <c r="F4" s="2274"/>
      <c r="G4" s="2274"/>
      <c r="H4" s="2274"/>
      <c r="I4" s="2274"/>
      <c r="J4" s="2276"/>
      <c r="K4" s="2277"/>
      <c r="L4" s="2278"/>
      <c r="M4" s="2274"/>
      <c r="N4" s="2274" t="s">
        <v>1975</v>
      </c>
      <c r="O4" s="2274"/>
      <c r="P4" s="2274"/>
      <c r="Q4" s="2274"/>
      <c r="R4" s="2274"/>
      <c r="S4" s="2276"/>
      <c r="T4" s="2279" t="str">
        <f>'数据-汇总表'!I17</f>
        <v>按面积比例</v>
      </c>
      <c r="U4" s="2273" t="s">
        <v>1976</v>
      </c>
      <c r="V4" s="2274"/>
      <c r="W4" s="2274"/>
      <c r="X4" s="2274"/>
      <c r="Y4" s="2276"/>
      <c r="Z4" s="2237" t="s">
        <v>1977</v>
      </c>
      <c r="AA4" s="2237"/>
      <c r="AB4" s="2237"/>
      <c r="AC4" s="2237"/>
      <c r="AD4" s="2237"/>
      <c r="AE4" s="2235" t="s">
        <v>1978</v>
      </c>
      <c r="AF4" s="2237"/>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9" customFormat="1" ht="42">
      <c r="A5" s="2281" t="s">
        <v>1979</v>
      </c>
      <c r="B5" s="2282" t="s">
        <v>1980</v>
      </c>
      <c r="C5" s="2283" t="s">
        <v>1981</v>
      </c>
      <c r="D5" s="2284" t="s">
        <v>1982</v>
      </c>
      <c r="E5" s="1266" t="s">
        <v>1983</v>
      </c>
      <c r="F5" s="2285" t="s">
        <v>1984</v>
      </c>
      <c r="G5" s="1266" t="s">
        <v>1985</v>
      </c>
      <c r="H5" s="1266" t="s">
        <v>1986</v>
      </c>
      <c r="I5" s="1266" t="s">
        <v>1987</v>
      </c>
      <c r="J5" s="2286" t="s">
        <v>1988</v>
      </c>
      <c r="K5" s="2287" t="s">
        <v>1989</v>
      </c>
      <c r="L5" s="2288" t="s">
        <v>1990</v>
      </c>
      <c r="M5" s="2289" t="s">
        <v>1991</v>
      </c>
      <c r="N5" s="2290" t="s">
        <v>1992</v>
      </c>
      <c r="O5" s="2288" t="s">
        <v>1993</v>
      </c>
      <c r="P5" s="2291" t="s">
        <v>1994</v>
      </c>
      <c r="Q5" s="68" t="s">
        <v>1995</v>
      </c>
      <c r="R5" s="2292" t="s">
        <v>1996</v>
      </c>
      <c r="S5" s="2293" t="s">
        <v>1997</v>
      </c>
      <c r="T5" s="2294" t="s">
        <v>1998</v>
      </c>
      <c r="U5" s="1265" t="s">
        <v>1999</v>
      </c>
      <c r="V5" s="1266" t="s">
        <v>2000</v>
      </c>
      <c r="W5" s="1266" t="s">
        <v>2001</v>
      </c>
      <c r="X5" s="70"/>
      <c r="Y5" s="69" t="s">
        <v>2002</v>
      </c>
      <c r="Z5" s="2295" t="s">
        <v>1999</v>
      </c>
      <c r="AA5" s="1266" t="s">
        <v>2000</v>
      </c>
      <c r="AB5" s="1266" t="s">
        <v>2001</v>
      </c>
      <c r="AC5" s="70"/>
      <c r="AD5" s="70" t="s">
        <v>2002</v>
      </c>
      <c r="AE5" s="1265" t="s">
        <v>2003</v>
      </c>
      <c r="AF5" s="1266" t="s">
        <v>2004</v>
      </c>
      <c r="AG5" s="69" t="s">
        <v>2005</v>
      </c>
      <c r="AH5" s="1265" t="s">
        <v>2006</v>
      </c>
      <c r="AI5" s="2295" t="s">
        <v>2007</v>
      </c>
      <c r="AJ5" s="2295" t="s">
        <v>2008</v>
      </c>
      <c r="AK5" s="1266" t="s">
        <v>2009</v>
      </c>
      <c r="AL5" s="1266" t="s">
        <v>2010</v>
      </c>
      <c r="AM5" s="69" t="s">
        <v>2011</v>
      </c>
      <c r="AN5" s="2296" t="s">
        <v>2012</v>
      </c>
      <c r="AO5" s="2067" t="s">
        <v>2013</v>
      </c>
      <c r="AP5" s="1247" t="s">
        <v>2014</v>
      </c>
      <c r="AQ5" s="2297" t="s">
        <v>2015</v>
      </c>
      <c r="AR5" s="2297" t="s">
        <v>2016</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8" customFormat="1" ht="14.25">
      <c r="A6" s="2298" t="str">
        <f>'数据-汇总表'!C19</f>
        <v>已建住宅</v>
      </c>
      <c r="B6" s="2299" t="str">
        <f>IF(A6=0,"","经营性")</f>
        <v>经营性</v>
      </c>
      <c r="C6" s="2300" t="s">
        <v>3079</v>
      </c>
      <c r="D6" s="1049">
        <f>SUMIF(项目基本情况!D$12:I$12,C6,项目基本情况!D$14:I$14)</f>
        <v>70</v>
      </c>
      <c r="E6" s="1046">
        <f>IF(B6="","",SUMIF(项目基本情况!D$12:I$12,C6,项目基本情况!D$13:I$13))</f>
        <v>67818</v>
      </c>
      <c r="F6" s="71">
        <f>SUMIF(项目基本情况!D$12:I$12,C6,项目基本情况!D$15:I$15)</f>
        <v>67.84</v>
      </c>
      <c r="G6" s="72">
        <f>IF(ISERROR(ROUND(POWER(1+H6,D6-F6)*(POWER(1+H6,F6)-1)/(POWER(1+H6,D6)-1),3)),0,ROUND(POWER(1+H6,D6-F6)*(POWER(1+H6,F6)-1)/(POWER(1+H6,D6)-1),3))</f>
        <v>0.99399999999999999</v>
      </c>
      <c r="H6" s="799">
        <v>0.04</v>
      </c>
      <c r="I6" s="799">
        <v>0.05</v>
      </c>
      <c r="J6" s="73">
        <v>8.5000000000000006E-2</v>
      </c>
      <c r="K6" s="1249">
        <f>SUMIF('数据-汇总表'!C$19:C$33,A6,'数据-汇总表'!E$19:E$33)</f>
        <v>13243.629999999997</v>
      </c>
      <c r="L6" s="800">
        <v>2200</v>
      </c>
      <c r="M6" s="74">
        <f t="shared" ref="M6:M14" si="0">ROUND(K6*L6/10000,0)</f>
        <v>2914</v>
      </c>
      <c r="N6" s="2989">
        <v>0.45</v>
      </c>
      <c r="O6" s="74">
        <f>IF($N$5="成新度","——",ROUND(M6*N6,0))</f>
        <v>1311</v>
      </c>
      <c r="P6" s="75">
        <f>IF($N$5="成新度","——",M6-O6)</f>
        <v>1603</v>
      </c>
      <c r="Q6" s="801">
        <v>0.2</v>
      </c>
      <c r="R6" s="76">
        <f ca="1">SUMIF('数据-汇总表'!C$19:C$33,A6,'数据-汇总表'!R$19:R$27)</f>
        <v>4408.29</v>
      </c>
      <c r="S6" s="53">
        <f>IF('数据-汇总表'!$I$17="按面积比例",SUMIF('数据-汇总表'!C$19:C$33,A6,'数据-汇总表'!K$19:K$33),SUMIF('数据-汇总表'!C$19:C$33,A6,'数据-汇总表'!N$19:N$33))</f>
        <v>73.98</v>
      </c>
      <c r="T6" s="1440">
        <f>ROUND($L$14*S6/10000,0)</f>
        <v>15</v>
      </c>
      <c r="U6" s="81"/>
      <c r="V6" s="77"/>
      <c r="W6" s="77"/>
      <c r="X6" s="1259"/>
      <c r="Y6" s="78"/>
      <c r="Z6" s="79"/>
      <c r="AA6" s="73"/>
      <c r="AB6" s="73"/>
      <c r="AC6" s="1259"/>
      <c r="AD6" s="80"/>
      <c r="AE6" s="1260">
        <f ca="1">IF(AN6="",0,SUMIF(INDIRECT("'"&amp;AN6&amp;"'"&amp;"!E:E"),$AE$5,INDIRECT("'"&amp;AN6&amp;"'"&amp;"!F:F")))</f>
        <v>0</v>
      </c>
      <c r="AF6" s="1801"/>
      <c r="AG6" s="144">
        <f>IF(AF6="",0,AE6-AF6)</f>
        <v>0</v>
      </c>
      <c r="AH6" s="81"/>
      <c r="AI6" s="83"/>
      <c r="AJ6" s="84"/>
      <c r="AK6" s="85"/>
      <c r="AL6" s="86"/>
      <c r="AM6" s="87"/>
      <c r="AN6" s="2301"/>
      <c r="AO6" s="54" t="e">
        <f ca="1">SUMIF(INDIRECT("'"&amp;AN6&amp;"'"&amp;"!A:A"),"总价",INDIRECT("'"&amp;AN6&amp;"'"&amp;"!B:B"))</f>
        <v>#REF!</v>
      </c>
      <c r="AP6" s="2302">
        <f>IF(C6="住宅",K6*L6,0)</f>
        <v>29135985.999999993</v>
      </c>
      <c r="AQ6" s="54">
        <f>ROUND($L$14*$N$14*S6/10000,0)</f>
        <v>0</v>
      </c>
      <c r="AR6" s="54">
        <f>ROUND($L$14*(1-$N$14)*S6/10000,0)</f>
        <v>15</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8" customFormat="1" ht="14.25">
      <c r="A7" s="2298" t="str">
        <f>'数据-汇总表'!C20</f>
        <v>未建住宅</v>
      </c>
      <c r="B7" s="2299" t="str">
        <f t="shared" ref="B7:B13" si="1">IF(A7=0,"","经营性")</f>
        <v>经营性</v>
      </c>
      <c r="C7" s="2300" t="s">
        <v>3079</v>
      </c>
      <c r="D7" s="1049">
        <f>SUMIF(项目基本情况!D$12:I$12,C7,项目基本情况!D$14:I$14)</f>
        <v>70</v>
      </c>
      <c r="E7" s="1046">
        <f>IF(B7="","",SUMIF(项目基本情况!D$12:I$12,C7,项目基本情况!D$13:I$13))</f>
        <v>67818</v>
      </c>
      <c r="F7" s="71">
        <f>SUMIF(项目基本情况!D$12:I$12,C7,项目基本情况!D$15:I$15)</f>
        <v>67.84</v>
      </c>
      <c r="G7" s="72">
        <f t="shared" ref="G7:G11" si="2">IF(ISERROR(ROUND(POWER(1+H7,D7-F7)*(POWER(1+H7,F7)-1)/(POWER(1+H7,D7)-1),3)),0,ROUND(POWER(1+H7,D7-F7)*(POWER(1+H7,F7)-1)/(POWER(1+H7,D7)-1),3))</f>
        <v>0.99399999999999999</v>
      </c>
      <c r="H7" s="799">
        <v>0.04</v>
      </c>
      <c r="I7" s="799">
        <v>0.05</v>
      </c>
      <c r="J7" s="73">
        <v>8.5000000000000006E-2</v>
      </c>
      <c r="K7" s="1249">
        <f>SUMIF('数据-汇总表'!C$19:C$33,A7,'数据-汇总表'!E$19:E$33)</f>
        <v>32914.340000000004</v>
      </c>
      <c r="L7" s="2988">
        <v>2800</v>
      </c>
      <c r="M7" s="74">
        <f t="shared" si="0"/>
        <v>9216</v>
      </c>
      <c r="N7" s="798">
        <v>0</v>
      </c>
      <c r="O7" s="74">
        <f t="shared" ref="O7:O14" si="3">IF($N$5="成新度","——",ROUND(M7*N7,0))</f>
        <v>0</v>
      </c>
      <c r="P7" s="75">
        <f t="shared" ref="P7:P14" si="4">IF($N$5="成新度","——",M7-O7)</f>
        <v>9216</v>
      </c>
      <c r="Q7" s="801">
        <v>0.2</v>
      </c>
      <c r="R7" s="76">
        <f ca="1">SUMIF('数据-汇总表'!C$19:C$33,A7,'数据-汇总表'!R$19:R$27)</f>
        <v>10955.91</v>
      </c>
      <c r="S7" s="53">
        <f>IF('数据-汇总表'!$I$17="按面积比例",SUMIF('数据-汇总表'!C$19:C$33,A7,'数据-汇总表'!K$19:K$33),SUMIF('数据-汇总表'!C$19:C$33,A7,'数据-汇总表'!N$19:N$33))</f>
        <v>183.86</v>
      </c>
      <c r="T7" s="1440">
        <f t="shared" ref="T7:T13" si="5">ROUND($L$14*S7/10000,0)</f>
        <v>37</v>
      </c>
      <c r="U7" s="81"/>
      <c r="V7" s="77"/>
      <c r="W7" s="77"/>
      <c r="X7" s="1259"/>
      <c r="Y7" s="78"/>
      <c r="Z7" s="79"/>
      <c r="AA7" s="73"/>
      <c r="AB7" s="73"/>
      <c r="AC7" s="1259"/>
      <c r="AD7" s="80"/>
      <c r="AE7" s="1260">
        <f t="shared" ref="AE7:AE13" ca="1" si="6">IF(AN7="",0,SUMIF(INDIRECT("'"&amp;AN7&amp;"'"&amp;"!E:E"),$AE$5,INDIRECT("'"&amp;AN7&amp;"'"&amp;"!F:F")))</f>
        <v>0</v>
      </c>
      <c r="AF7" s="1801"/>
      <c r="AG7" s="144">
        <f t="shared" ref="AG7:AG13" si="7">IF(AF7="",0,AE7-AF7)</f>
        <v>0</v>
      </c>
      <c r="AH7" s="81"/>
      <c r="AI7" s="83"/>
      <c r="AJ7" s="84"/>
      <c r="AK7" s="85"/>
      <c r="AL7" s="86"/>
      <c r="AM7" s="87"/>
      <c r="AN7" s="2301"/>
      <c r="AO7" s="54" t="e">
        <f t="shared" ref="AO7:AO13" ca="1" si="8">SUMIF(INDIRECT("'"&amp;AN7&amp;"'"&amp;"!A:A"),"总价",INDIRECT("'"&amp;AN7&amp;"'"&amp;"!B:B"))</f>
        <v>#REF!</v>
      </c>
      <c r="AP7" s="2302">
        <f t="shared" ref="AP7:AP13" si="9">IF(C7="住宅",K7*L7,0)</f>
        <v>92160152.000000015</v>
      </c>
      <c r="AQ7" s="54">
        <f t="shared" ref="AQ7:AQ13" si="10">ROUND($L$14*$N$14*S7/10000,0)</f>
        <v>0</v>
      </c>
      <c r="AR7" s="54">
        <f t="shared" ref="AR7:AR13" si="11">ROUND($L$14*(1-$N$14)*S7/10000,0)</f>
        <v>37</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8" customFormat="1" ht="14.25">
      <c r="A8" s="2298" t="str">
        <f>'数据-汇总表'!C21</f>
        <v>未建车库</v>
      </c>
      <c r="B8" s="2299" t="str">
        <f t="shared" si="1"/>
        <v>经营性</v>
      </c>
      <c r="C8" s="2300" t="s">
        <v>3081</v>
      </c>
      <c r="D8" s="1049">
        <f>SUMIF(项目基本情况!D$12:I$12,C8,项目基本情况!D$14:I$14)</f>
        <v>40</v>
      </c>
      <c r="E8" s="1046">
        <f>IF(B8="","",SUMIF(项目基本情况!D$12:I$12,C8,项目基本情况!D$13:I$13))</f>
        <v>56860</v>
      </c>
      <c r="F8" s="71">
        <f>SUMIF(项目基本情况!D$12:I$12,C8,项目基本情况!D$15:I$15)</f>
        <v>37.81</v>
      </c>
      <c r="G8" s="72">
        <f t="shared" si="2"/>
        <v>0.97599999999999998</v>
      </c>
      <c r="H8" s="2986">
        <v>0.04</v>
      </c>
      <c r="I8" s="2986">
        <v>4.4999999999999998E-2</v>
      </c>
      <c r="J8" s="73">
        <v>8.5000000000000006E-2</v>
      </c>
      <c r="K8" s="1249">
        <f>SUMIF('数据-汇总表'!C$19:C$33,A8,'数据-汇总表'!E$19:E$33)</f>
        <v>7513.65</v>
      </c>
      <c r="L8" s="800">
        <v>2200</v>
      </c>
      <c r="M8" s="74">
        <f>ROUND(K8*L8/10000,0)</f>
        <v>1653</v>
      </c>
      <c r="N8" s="798">
        <v>0</v>
      </c>
      <c r="O8" s="74">
        <f t="shared" si="3"/>
        <v>0</v>
      </c>
      <c r="P8" s="75">
        <f t="shared" si="4"/>
        <v>1653</v>
      </c>
      <c r="Q8" s="801">
        <v>0.03</v>
      </c>
      <c r="R8" s="76">
        <f ca="1">SUMIF('数据-汇总表'!C$19:C$33,A8,'数据-汇总表'!R$19:R$27)</f>
        <v>2378.67</v>
      </c>
      <c r="S8" s="53">
        <f>IF('数据-汇总表'!$I$17="按面积比例",SUMIF('数据-汇总表'!C$19:C$33,A8,'数据-汇总表'!K$19:K$33),SUMIF('数据-汇总表'!C$19:C$33,A8,'数据-汇总表'!N$19:N$33))</f>
        <v>41.97</v>
      </c>
      <c r="T8" s="1440">
        <f t="shared" si="5"/>
        <v>8</v>
      </c>
      <c r="U8" s="2987">
        <v>600</v>
      </c>
      <c r="V8" s="802">
        <v>0.02</v>
      </c>
      <c r="W8" s="802">
        <v>0.1</v>
      </c>
      <c r="X8" s="1259"/>
      <c r="Y8" s="803">
        <v>1</v>
      </c>
      <c r="Z8" s="79"/>
      <c r="AA8" s="73"/>
      <c r="AB8" s="73"/>
      <c r="AC8" s="1259"/>
      <c r="AD8" s="80"/>
      <c r="AE8" s="1260">
        <f t="shared" ca="1" si="6"/>
        <v>36.510000000000005</v>
      </c>
      <c r="AF8" s="1801"/>
      <c r="AG8" s="144">
        <f t="shared" si="7"/>
        <v>0</v>
      </c>
      <c r="AH8" s="2969">
        <v>268</v>
      </c>
      <c r="AI8" s="83">
        <v>12</v>
      </c>
      <c r="AJ8" s="84"/>
      <c r="AK8" s="804">
        <v>0.02</v>
      </c>
      <c r="AL8" s="805">
        <v>2E-3</v>
      </c>
      <c r="AM8" s="806">
        <v>0.02</v>
      </c>
      <c r="AN8" s="2301" t="s">
        <v>3132</v>
      </c>
      <c r="AO8" s="54">
        <f t="shared" ca="1" si="8"/>
        <v>2066</v>
      </c>
      <c r="AP8" s="2302">
        <f t="shared" si="9"/>
        <v>0</v>
      </c>
      <c r="AQ8" s="54">
        <f t="shared" si="10"/>
        <v>0</v>
      </c>
      <c r="AR8" s="54">
        <f t="shared" si="11"/>
        <v>8</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8" customFormat="1" ht="14.25">
      <c r="A9" s="2298" t="str">
        <f>'数据-汇总表'!C22</f>
        <v>储藏室</v>
      </c>
      <c r="B9" s="2299" t="str">
        <f t="shared" si="1"/>
        <v>经营性</v>
      </c>
      <c r="C9" s="2985" t="s">
        <v>3187</v>
      </c>
      <c r="D9" s="1049">
        <f>SUMIF(项目基本情况!D$12:I$12,C9,项目基本情况!D$14:I$14)</f>
        <v>40</v>
      </c>
      <c r="E9" s="1046">
        <f>IF(B9="","",SUMIF(项目基本情况!D$12:I$12,C9,项目基本情况!D$13:I$13))</f>
        <v>56860</v>
      </c>
      <c r="F9" s="71">
        <f>SUMIF(项目基本情况!D$12:I$12,C9,项目基本情况!D$15:I$15)</f>
        <v>37.81</v>
      </c>
      <c r="G9" s="72">
        <f t="shared" si="2"/>
        <v>0.97599999999999998</v>
      </c>
      <c r="H9" s="2986">
        <v>0.04</v>
      </c>
      <c r="I9" s="2986">
        <v>4.4999999999999998E-2</v>
      </c>
      <c r="J9" s="73">
        <v>8.5000000000000006E-2</v>
      </c>
      <c r="K9" s="1249">
        <f>SUMIF('数据-汇总表'!C$19:C$33,A9,'数据-汇总表'!E$19:E$33)</f>
        <v>2971</v>
      </c>
      <c r="L9" s="800">
        <v>1800</v>
      </c>
      <c r="M9" s="74">
        <f t="shared" si="0"/>
        <v>535</v>
      </c>
      <c r="N9" s="798">
        <v>0.7</v>
      </c>
      <c r="O9" s="74">
        <f t="shared" si="3"/>
        <v>375</v>
      </c>
      <c r="P9" s="75">
        <f t="shared" si="4"/>
        <v>160</v>
      </c>
      <c r="Q9" s="88">
        <v>0.05</v>
      </c>
      <c r="R9" s="76">
        <f ca="1">SUMIF('数据-汇总表'!C$19:C$33,A9,'数据-汇总表'!R$19:R$27)</f>
        <v>940.56000000000006</v>
      </c>
      <c r="S9" s="53">
        <f>IF('数据-汇总表'!$I$17="按面积比例",SUMIF('数据-汇总表'!C$19:C$33,A9,'数据-汇总表'!K$19:K$33),SUMIF('数据-汇总表'!C$19:C$33,A9,'数据-汇总表'!N$19:N$33))</f>
        <v>16.600000000000001</v>
      </c>
      <c r="T9" s="1440">
        <f t="shared" si="5"/>
        <v>3</v>
      </c>
      <c r="U9" s="81"/>
      <c r="V9" s="77"/>
      <c r="W9" s="77"/>
      <c r="X9" s="1259"/>
      <c r="Y9" s="78"/>
      <c r="Z9" s="79"/>
      <c r="AA9" s="73"/>
      <c r="AB9" s="73"/>
      <c r="AC9" s="1259"/>
      <c r="AD9" s="80"/>
      <c r="AE9" s="1260">
        <f t="shared" ca="1" si="6"/>
        <v>0</v>
      </c>
      <c r="AF9" s="1801"/>
      <c r="AG9" s="144">
        <f t="shared" si="7"/>
        <v>0</v>
      </c>
      <c r="AH9" s="81"/>
      <c r="AI9" s="83"/>
      <c r="AJ9" s="84"/>
      <c r="AK9" s="85"/>
      <c r="AL9" s="86"/>
      <c r="AM9" s="87"/>
      <c r="AN9" s="2301"/>
      <c r="AO9" s="54" t="e">
        <f t="shared" ca="1" si="8"/>
        <v>#REF!</v>
      </c>
      <c r="AP9" s="2302">
        <f t="shared" si="9"/>
        <v>0</v>
      </c>
      <c r="AQ9" s="54">
        <f t="shared" si="10"/>
        <v>0</v>
      </c>
      <c r="AR9" s="54">
        <f t="shared" si="11"/>
        <v>3</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8" customFormat="1" ht="14.25">
      <c r="A10" s="2298" t="str">
        <f>'数据-汇总表'!C23</f>
        <v>未建商业</v>
      </c>
      <c r="B10" s="2299" t="str">
        <f t="shared" si="1"/>
        <v>经营性</v>
      </c>
      <c r="C10" s="2300" t="s">
        <v>1378</v>
      </c>
      <c r="D10" s="1049">
        <f>SUMIF(项目基本情况!D$12:I$12,C10,项目基本情况!D$14:I$14)</f>
        <v>40</v>
      </c>
      <c r="E10" s="1046">
        <f>IF(B10="","",SUMIF(项目基本情况!D$12:I$12,C10,项目基本情况!D$13:I$13))</f>
        <v>56860</v>
      </c>
      <c r="F10" s="71">
        <f>SUMIF(项目基本情况!D$12:I$12,C10,项目基本情况!D$15:I$15)</f>
        <v>37.81</v>
      </c>
      <c r="G10" s="72">
        <f t="shared" si="2"/>
        <v>0.97899999999999998</v>
      </c>
      <c r="H10" s="799">
        <v>4.4999999999999998E-2</v>
      </c>
      <c r="I10" s="799">
        <v>5.5E-2</v>
      </c>
      <c r="J10" s="73">
        <v>8.5000000000000006E-2</v>
      </c>
      <c r="K10" s="1249">
        <f>SUMIF('数据-汇总表'!C$19:C$33,A10,'数据-汇总表'!E$19:E$33)</f>
        <v>5178.66</v>
      </c>
      <c r="L10" s="800">
        <v>2400</v>
      </c>
      <c r="M10" s="74">
        <f t="shared" si="0"/>
        <v>1243</v>
      </c>
      <c r="N10" s="798">
        <v>0</v>
      </c>
      <c r="O10" s="74">
        <f t="shared" si="3"/>
        <v>0</v>
      </c>
      <c r="P10" s="75">
        <f t="shared" si="4"/>
        <v>1243</v>
      </c>
      <c r="Q10" s="88">
        <v>0.15</v>
      </c>
      <c r="R10" s="76">
        <f ca="1">SUMIF('数据-汇总表'!C$19:C$33,A10,'数据-汇总表'!R$19:R$27)</f>
        <v>1639.4599999999998</v>
      </c>
      <c r="S10" s="53">
        <f>IF('数据-汇总表'!$I$17="按面积比例",SUMIF('数据-汇总表'!C$19:C$33,A10,'数据-汇总表'!K$19:K$33),SUMIF('数据-汇总表'!C$19:C$33,A10,'数据-汇总表'!N$19:N$33))</f>
        <v>28.93</v>
      </c>
      <c r="T10" s="1440">
        <f t="shared" si="5"/>
        <v>6</v>
      </c>
      <c r="U10" s="81">
        <v>3.5</v>
      </c>
      <c r="V10" s="77">
        <v>0.03</v>
      </c>
      <c r="W10" s="77">
        <v>0.15</v>
      </c>
      <c r="X10" s="1259"/>
      <c r="Y10" s="78">
        <v>1</v>
      </c>
      <c r="Z10" s="79"/>
      <c r="AA10" s="73"/>
      <c r="AB10" s="73"/>
      <c r="AC10" s="1259"/>
      <c r="AD10" s="80"/>
      <c r="AE10" s="1260">
        <f t="shared" ca="1" si="6"/>
        <v>36.510000000000005</v>
      </c>
      <c r="AF10" s="1801"/>
      <c r="AG10" s="144">
        <f t="shared" si="7"/>
        <v>0</v>
      </c>
      <c r="AH10" s="81"/>
      <c r="AI10" s="83">
        <v>365</v>
      </c>
      <c r="AJ10" s="84"/>
      <c r="AK10" s="804">
        <v>0.02</v>
      </c>
      <c r="AL10" s="805">
        <v>2E-3</v>
      </c>
      <c r="AM10" s="806">
        <v>0.02</v>
      </c>
      <c r="AN10" s="2301" t="s">
        <v>3177</v>
      </c>
      <c r="AO10" s="54">
        <f t="shared" ca="1" si="8"/>
        <v>10781</v>
      </c>
      <c r="AP10" s="2302">
        <f t="shared" si="9"/>
        <v>0</v>
      </c>
      <c r="AQ10" s="54">
        <f t="shared" si="10"/>
        <v>0</v>
      </c>
      <c r="AR10" s="54">
        <f t="shared" si="11"/>
        <v>6</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8" customFormat="1" ht="14.25">
      <c r="A11" s="2298" t="str">
        <f>'数据-汇总表'!C24</f>
        <v>已建商业（售楼处）</v>
      </c>
      <c r="B11" s="2299" t="str">
        <f t="shared" si="1"/>
        <v>经营性</v>
      </c>
      <c r="C11" s="2300" t="s">
        <v>1378</v>
      </c>
      <c r="D11" s="1049">
        <f>SUMIF(项目基本情况!D$12:I$12,C11,项目基本情况!D$14:I$14)</f>
        <v>40</v>
      </c>
      <c r="E11" s="1046">
        <f>IF(B11="","",SUMIF(项目基本情况!D$12:I$12,C11,项目基本情况!D$13:I$13))</f>
        <v>56860</v>
      </c>
      <c r="F11" s="71">
        <f>SUMIF(项目基本情况!D$12:I$12,C11,项目基本情况!D$15:I$15)</f>
        <v>37.81</v>
      </c>
      <c r="G11" s="72">
        <f t="shared" si="2"/>
        <v>0.97899999999999998</v>
      </c>
      <c r="H11" s="73">
        <v>4.4999999999999998E-2</v>
      </c>
      <c r="I11" s="799">
        <v>5.5E-2</v>
      </c>
      <c r="J11" s="73">
        <v>8.5000000000000006E-2</v>
      </c>
      <c r="K11" s="1249">
        <f>SUMIF('数据-汇总表'!C$19:C$33,A11,'数据-汇总表'!E$19:E$33)</f>
        <v>2761.03</v>
      </c>
      <c r="L11" s="2991">
        <v>3500</v>
      </c>
      <c r="M11" s="74">
        <f t="shared" si="0"/>
        <v>966</v>
      </c>
      <c r="N11" s="2990">
        <v>0.95</v>
      </c>
      <c r="O11" s="74">
        <f t="shared" si="3"/>
        <v>918</v>
      </c>
      <c r="P11" s="75">
        <f t="shared" si="4"/>
        <v>48</v>
      </c>
      <c r="Q11" s="88">
        <v>0.15</v>
      </c>
      <c r="R11" s="76">
        <f ca="1">SUMIF('数据-汇总表'!C$19:C$33,A11,'数据-汇总表'!R$19:R$27)</f>
        <v>874.08</v>
      </c>
      <c r="S11" s="53">
        <f>IF('数据-汇总表'!$I$17="按面积比例",SUMIF('数据-汇总表'!C$19:C$33,A11,'数据-汇总表'!K$19:K$33),SUMIF('数据-汇总表'!C$19:C$33,A11,'数据-汇总表'!N$19:N$33))</f>
        <v>15.42</v>
      </c>
      <c r="T11" s="1440">
        <f t="shared" si="5"/>
        <v>3</v>
      </c>
      <c r="U11" s="81">
        <v>3</v>
      </c>
      <c r="V11" s="77">
        <v>0.03</v>
      </c>
      <c r="W11" s="77">
        <v>0.15</v>
      </c>
      <c r="X11" s="1259"/>
      <c r="Y11" s="78">
        <v>1</v>
      </c>
      <c r="Z11" s="91"/>
      <c r="AA11" s="73"/>
      <c r="AB11" s="73"/>
      <c r="AC11" s="1259"/>
      <c r="AD11" s="80"/>
      <c r="AE11" s="1260">
        <f t="shared" ca="1" si="6"/>
        <v>36.510000000000005</v>
      </c>
      <c r="AF11" s="1801"/>
      <c r="AG11" s="144">
        <f t="shared" si="7"/>
        <v>0</v>
      </c>
      <c r="AH11" s="81"/>
      <c r="AI11" s="83">
        <v>365</v>
      </c>
      <c r="AJ11" s="84"/>
      <c r="AK11" s="804">
        <v>0.02</v>
      </c>
      <c r="AL11" s="805">
        <v>2E-3</v>
      </c>
      <c r="AM11" s="806">
        <v>0.02</v>
      </c>
      <c r="AN11" s="2301" t="s">
        <v>3195</v>
      </c>
      <c r="AO11" s="54">
        <f t="shared" ca="1" si="8"/>
        <v>4504</v>
      </c>
      <c r="AP11" s="2302">
        <f t="shared" si="9"/>
        <v>0</v>
      </c>
      <c r="AQ11" s="54">
        <f t="shared" si="10"/>
        <v>0</v>
      </c>
      <c r="AR11" s="54">
        <f t="shared" si="11"/>
        <v>3</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8" customFormat="1" ht="14.25">
      <c r="A12" s="2298">
        <f>'数据-汇总表'!C25</f>
        <v>0</v>
      </c>
      <c r="B12" s="2299" t="str">
        <f t="shared" si="1"/>
        <v/>
      </c>
      <c r="C12" s="2300"/>
      <c r="D12" s="1049">
        <f>SUMIF(项目基本情况!D$12:I$12,C12,项目基本情况!D$14:I$14)</f>
        <v>0</v>
      </c>
      <c r="E12" s="1046"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9">
        <f>SUMIF('数据-汇总表'!C$19:C$33,A12,'数据-汇总表'!E$19:E$33)</f>
        <v>0</v>
      </c>
      <c r="L12" s="89"/>
      <c r="M12" s="74">
        <f>ROUND(K12*L12/10000,0)</f>
        <v>0</v>
      </c>
      <c r="N12" s="90"/>
      <c r="O12" s="74">
        <f t="shared" si="3"/>
        <v>0</v>
      </c>
      <c r="P12" s="75">
        <f t="shared" si="4"/>
        <v>0</v>
      </c>
      <c r="Q12" s="88"/>
      <c r="R12" s="76">
        <f ca="1">SUMIF('数据-汇总表'!C$19:C$33,A12,'数据-汇总表'!R$19:R$27)</f>
        <v>0</v>
      </c>
      <c r="S12" s="53">
        <f>IF('数据-汇总表'!$I$17="按面积比例",SUMIF('数据-汇总表'!C$19:C$33,A12,'数据-汇总表'!K$19:K$33),SUMIF('数据-汇总表'!C$19:C$33,A12,'数据-汇总表'!N$19:N$33))</f>
        <v>0</v>
      </c>
      <c r="T12" s="1440">
        <f t="shared" si="5"/>
        <v>0</v>
      </c>
      <c r="U12" s="81"/>
      <c r="V12" s="73"/>
      <c r="W12" s="73"/>
      <c r="X12" s="1259"/>
      <c r="Y12" s="78"/>
      <c r="Z12" s="91"/>
      <c r="AA12" s="73"/>
      <c r="AB12" s="73"/>
      <c r="AC12" s="1259"/>
      <c r="AD12" s="80"/>
      <c r="AE12" s="1260">
        <f t="shared" ca="1" si="6"/>
        <v>0</v>
      </c>
      <c r="AF12" s="1801"/>
      <c r="AG12" s="144">
        <f t="shared" si="7"/>
        <v>0</v>
      </c>
      <c r="AH12" s="81"/>
      <c r="AI12" s="83"/>
      <c r="AJ12" s="84"/>
      <c r="AK12" s="92"/>
      <c r="AL12" s="93"/>
      <c r="AM12" s="94"/>
      <c r="AN12" s="2301"/>
      <c r="AO12" s="54" t="e">
        <f t="shared" ca="1" si="8"/>
        <v>#REF!</v>
      </c>
      <c r="AP12" s="2302">
        <f t="shared" si="9"/>
        <v>0</v>
      </c>
      <c r="AQ12" s="54">
        <f t="shared" si="10"/>
        <v>0</v>
      </c>
      <c r="AR12" s="54">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8" customFormat="1" ht="14.25">
      <c r="A13" s="2298">
        <f>'数据-汇总表'!C26</f>
        <v>0</v>
      </c>
      <c r="B13" s="2299" t="str">
        <f t="shared" si="1"/>
        <v/>
      </c>
      <c r="C13" s="2300"/>
      <c r="D13" s="1049">
        <f>SUMIF(项目基本情况!D$12:I$12,C13,项目基本情况!D$14:I$14)</f>
        <v>0</v>
      </c>
      <c r="E13" s="1046"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9">
        <f>SUMIF('数据-汇总表'!C$19:C$33,A13,'数据-汇总表'!E$19:E$33)</f>
        <v>0</v>
      </c>
      <c r="L13" s="89"/>
      <c r="M13" s="74">
        <f>ROUND(K13*L13/10000,0)</f>
        <v>0</v>
      </c>
      <c r="N13" s="90"/>
      <c r="O13" s="74">
        <f t="shared" si="3"/>
        <v>0</v>
      </c>
      <c r="P13" s="75">
        <f t="shared" si="4"/>
        <v>0</v>
      </c>
      <c r="Q13" s="88"/>
      <c r="R13" s="76">
        <f ca="1">SUMIF('数据-汇总表'!C$19:C$33,A13,'数据-汇总表'!R$19:R$27)</f>
        <v>0</v>
      </c>
      <c r="S13" s="53">
        <f>IF('数据-汇总表'!$I$17="按面积比例",SUMIF('数据-汇总表'!C$19:C$33,A13,'数据-汇总表'!K$19:K$33),SUMIF('数据-汇总表'!C$19:C$33,A13,'数据-汇总表'!N$19:N$33))</f>
        <v>0</v>
      </c>
      <c r="T13" s="1440">
        <f t="shared" si="5"/>
        <v>0</v>
      </c>
      <c r="U13" s="81"/>
      <c r="V13" s="77"/>
      <c r="W13" s="77"/>
      <c r="X13" s="1259"/>
      <c r="Y13" s="78"/>
      <c r="Z13" s="79"/>
      <c r="AA13" s="73"/>
      <c r="AB13" s="73"/>
      <c r="AC13" s="1259"/>
      <c r="AD13" s="80"/>
      <c r="AE13" s="1260">
        <f t="shared" ca="1" si="6"/>
        <v>0</v>
      </c>
      <c r="AF13" s="1801"/>
      <c r="AG13" s="144">
        <f t="shared" si="7"/>
        <v>0</v>
      </c>
      <c r="AH13" s="81"/>
      <c r="AI13" s="83"/>
      <c r="AJ13" s="84"/>
      <c r="AK13" s="85"/>
      <c r="AL13" s="86"/>
      <c r="AM13" s="87"/>
      <c r="AN13" s="2301"/>
      <c r="AO13" s="54" t="e">
        <f t="shared" ca="1" si="8"/>
        <v>#REF!</v>
      </c>
      <c r="AP13" s="2302">
        <f t="shared" si="9"/>
        <v>0</v>
      </c>
      <c r="AQ13" s="54">
        <f t="shared" si="10"/>
        <v>0</v>
      </c>
      <c r="AR13" s="54">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8" customFormat="1" ht="14.25">
      <c r="A14" s="2303" t="s">
        <v>2017</v>
      </c>
      <c r="B14" s="2299" t="s">
        <v>2018</v>
      </c>
      <c r="C14" s="2304" t="s">
        <v>2017</v>
      </c>
      <c r="D14" s="1049"/>
      <c r="E14" s="1046"/>
      <c r="F14" s="71"/>
      <c r="G14" s="72"/>
      <c r="H14" s="1248"/>
      <c r="I14" s="1248"/>
      <c r="J14" s="1248"/>
      <c r="K14" s="1249">
        <f>SUMIF('数据-汇总表'!C$19:C$33,A14,'数据-汇总表'!E$19:E$33)</f>
        <v>360.75</v>
      </c>
      <c r="L14" s="89">
        <v>2000</v>
      </c>
      <c r="M14" s="74">
        <f t="shared" si="0"/>
        <v>72</v>
      </c>
      <c r="N14" s="90">
        <v>0</v>
      </c>
      <c r="O14" s="74">
        <f t="shared" si="3"/>
        <v>0</v>
      </c>
      <c r="P14" s="75">
        <f t="shared" si="4"/>
        <v>72</v>
      </c>
      <c r="Q14" s="1252"/>
      <c r="R14" s="76"/>
      <c r="S14" s="53"/>
      <c r="T14" s="1440"/>
      <c r="U14" s="721"/>
      <c r="V14" s="1254"/>
      <c r="W14" s="1254"/>
      <c r="X14" s="1255"/>
      <c r="Y14" s="1256"/>
      <c r="Z14" s="1257"/>
      <c r="AA14" s="1258"/>
      <c r="AB14" s="1258"/>
      <c r="AC14" s="1259"/>
      <c r="AD14" s="1255"/>
      <c r="AE14" s="1260"/>
      <c r="AF14" s="54"/>
      <c r="AG14" s="144"/>
      <c r="AH14" s="1260"/>
      <c r="AI14" s="1812"/>
      <c r="AJ14" s="770"/>
      <c r="AK14" s="1261"/>
      <c r="AL14" s="1262"/>
      <c r="AM14" s="1263"/>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8" customFormat="1" ht="27">
      <c r="A15" s="2303" t="s">
        <v>2019</v>
      </c>
      <c r="B15" s="2299" t="s">
        <v>2018</v>
      </c>
      <c r="C15" s="2304" t="s">
        <v>2020</v>
      </c>
      <c r="D15" s="1049"/>
      <c r="E15" s="1046"/>
      <c r="F15" s="71"/>
      <c r="G15" s="72"/>
      <c r="H15" s="1248"/>
      <c r="I15" s="1248"/>
      <c r="J15" s="1248"/>
      <c r="K15" s="1249">
        <f>SUMIF('数据-汇总表'!C$19:C$33,A15,'数据-汇总表'!E$19:E$33)</f>
        <v>2387.1099999999997</v>
      </c>
      <c r="L15" s="1250"/>
      <c r="M15" s="74"/>
      <c r="N15" s="1251"/>
      <c r="O15" s="74"/>
      <c r="P15" s="75"/>
      <c r="Q15" s="1252"/>
      <c r="R15" s="76"/>
      <c r="S15" s="53"/>
      <c r="T15" s="1440"/>
      <c r="U15" s="721"/>
      <c r="V15" s="1254"/>
      <c r="W15" s="1254"/>
      <c r="X15" s="1255"/>
      <c r="Y15" s="1256"/>
      <c r="Z15" s="1257"/>
      <c r="AA15" s="1258"/>
      <c r="AB15" s="1258"/>
      <c r="AC15" s="1259"/>
      <c r="AD15" s="1255"/>
      <c r="AE15" s="1260"/>
      <c r="AF15" s="54"/>
      <c r="AG15" s="144"/>
      <c r="AH15" s="1260"/>
      <c r="AI15" s="1812"/>
      <c r="AJ15" s="770"/>
      <c r="AK15" s="1261"/>
      <c r="AL15" s="1262"/>
      <c r="AM15" s="1263"/>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8" customFormat="1" ht="15.75" thickBot="1">
      <c r="A16" s="2305" t="s">
        <v>2021</v>
      </c>
      <c r="B16" s="95"/>
      <c r="C16" s="1003"/>
      <c r="D16" s="2306"/>
      <c r="E16" s="95"/>
      <c r="F16" s="95"/>
      <c r="G16" s="96">
        <f>ROUND(SUMPRODUCT(G6:G13,K6:K13)/SUMPRODUCT((G6:G13&gt;0)*(K6:K13)),3)</f>
        <v>0.98899999999999999</v>
      </c>
      <c r="H16" s="97">
        <f>ROUND(SUMPRODUCT(H6:H13,K6:K13)/SUMPRODUCT((H6:H13&gt;0)*(K6:K13)),3)</f>
        <v>4.1000000000000002E-2</v>
      </c>
      <c r="I16" s="98"/>
      <c r="J16" s="98"/>
      <c r="K16" s="99">
        <f>SUM(K6:K15)</f>
        <v>67330.17</v>
      </c>
      <c r="L16" s="100">
        <f>ROUND(M16*10000/SUM(K6:K14),0)</f>
        <v>2556</v>
      </c>
      <c r="M16" s="100">
        <f>SUM(M6:M14)</f>
        <v>16599</v>
      </c>
      <c r="N16" s="101">
        <f>ROUND(SUMPRODUCT(M6:M14,N6:N14)/M16,3)</f>
        <v>0.157</v>
      </c>
      <c r="O16" s="100">
        <f>SUM(O6:O14)</f>
        <v>2604</v>
      </c>
      <c r="P16" s="100">
        <f>SUM(P6:P14)</f>
        <v>13995</v>
      </c>
      <c r="Q16" s="102">
        <f>ROUND(SUMPRODUCT(Q6:Q13,K6:K13)/SUMPRODUCT((Q6:Q13&gt;0)*(K6:K13)),2)</f>
        <v>0.17</v>
      </c>
      <c r="R16" s="1253">
        <f ca="1">SUM(R6:R13)</f>
        <v>21196.970000000005</v>
      </c>
      <c r="S16" s="103">
        <f>SUM(S6:S13)</f>
        <v>360.7600000000001</v>
      </c>
      <c r="T16" s="104">
        <f>IF(SUMIF(T6:T13,"&lt;9E307")=M14,SUMIF(T6:T13,"&lt;9E307"),"有误，请检查")</f>
        <v>72</v>
      </c>
      <c r="U16" s="105"/>
      <c r="V16" s="106"/>
      <c r="W16" s="106"/>
      <c r="X16" s="109"/>
      <c r="Y16" s="107"/>
      <c r="Z16" s="108"/>
      <c r="AA16" s="106"/>
      <c r="AB16" s="106"/>
      <c r="AC16" s="109"/>
      <c r="AD16" s="109"/>
      <c r="AE16" s="105"/>
      <c r="AF16" s="106"/>
      <c r="AG16" s="107"/>
      <c r="AH16" s="105"/>
      <c r="AI16" s="108"/>
      <c r="AJ16" s="108"/>
      <c r="AK16" s="106"/>
      <c r="AL16" s="106"/>
      <c r="AM16" s="107"/>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29"/>
      <c r="C17" s="1578"/>
      <c r="D17" s="2265"/>
      <c r="E17" s="2265"/>
      <c r="F17" s="1578"/>
      <c r="G17" s="1578"/>
      <c r="H17" s="1578"/>
      <c r="I17" s="1578"/>
      <c r="J17" s="1578"/>
      <c r="K17" s="166"/>
      <c r="L17" s="166"/>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7" t="s">
        <v>2022</v>
      </c>
      <c r="B18" s="2272"/>
      <c r="C18" s="2269"/>
      <c r="D18" s="2270"/>
      <c r="E18" s="2269"/>
      <c r="F18" s="2269"/>
      <c r="G18" s="2269"/>
      <c r="H18" s="2269"/>
      <c r="I18" s="2269"/>
      <c r="J18" s="2269"/>
      <c r="K18" s="166"/>
      <c r="L18" s="166"/>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08" t="s">
        <v>2023</v>
      </c>
      <c r="B19" s="110">
        <v>0</v>
      </c>
      <c r="C19" s="2269" t="s">
        <v>2024</v>
      </c>
      <c r="D19" s="2270"/>
      <c r="E19" s="2269"/>
      <c r="F19" s="2269"/>
      <c r="G19" s="2269"/>
      <c r="H19" s="2269"/>
      <c r="I19" s="2269"/>
      <c r="J19" s="2269"/>
      <c r="K19" s="166"/>
      <c r="L19" s="166"/>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09" t="s">
        <v>2025</v>
      </c>
      <c r="B20" s="111">
        <v>2.5</v>
      </c>
      <c r="C20" s="2269" t="s">
        <v>2026</v>
      </c>
      <c r="D20" s="2270"/>
      <c r="E20" s="2269"/>
      <c r="F20" s="2269"/>
      <c r="G20" s="2269"/>
      <c r="H20" s="2269"/>
      <c r="I20" s="2269"/>
      <c r="J20" s="2269"/>
      <c r="K20" s="166"/>
      <c r="L20" s="166"/>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0" t="s">
        <v>2027</v>
      </c>
      <c r="B21" s="111">
        <v>1.2</v>
      </c>
      <c r="C21" s="2269"/>
      <c r="D21" s="2270"/>
      <c r="E21" s="2269"/>
      <c r="F21" s="2269"/>
      <c r="G21" s="2269"/>
      <c r="H21" s="2269"/>
      <c r="I21" s="2942" t="s">
        <v>3128</v>
      </c>
      <c r="J21" s="2943">
        <v>1280</v>
      </c>
      <c r="K21" s="2944">
        <v>1550</v>
      </c>
      <c r="L21" s="2945">
        <v>1910</v>
      </c>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09" t="s">
        <v>2028</v>
      </c>
      <c r="B22" s="112">
        <f>B19+B20</f>
        <v>2.5</v>
      </c>
      <c r="C22" s="2269"/>
      <c r="D22" s="2270"/>
      <c r="E22" s="2269"/>
      <c r="F22" s="2269"/>
      <c r="G22" s="2269"/>
      <c r="H22" s="2269"/>
      <c r="I22" s="2269"/>
      <c r="J22" s="2269"/>
      <c r="K22" s="166"/>
      <c r="L22" s="166"/>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0" t="s">
        <v>2029</v>
      </c>
      <c r="B23" s="112">
        <f>B19+B21</f>
        <v>1.2</v>
      </c>
      <c r="C23" s="2269"/>
      <c r="D23" s="2270"/>
      <c r="E23" s="2269"/>
      <c r="F23" s="2269"/>
      <c r="G23" s="2269"/>
      <c r="H23" s="2269"/>
      <c r="I23" s="2269"/>
      <c r="J23" s="2269"/>
      <c r="K23" s="166"/>
      <c r="L23" s="166"/>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1" t="s">
        <v>2030</v>
      </c>
      <c r="B24" s="113">
        <f>B20-B21</f>
        <v>1.3</v>
      </c>
      <c r="C24" s="2269"/>
      <c r="D24" s="2270"/>
      <c r="E24" s="2269"/>
      <c r="F24" s="2269"/>
      <c r="G24" s="2269"/>
      <c r="H24" s="2269"/>
      <c r="I24" s="2269"/>
      <c r="J24" s="2269"/>
      <c r="K24" s="166"/>
      <c r="L24" s="166"/>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2"/>
      <c r="C25" s="2269"/>
      <c r="D25" s="2270"/>
      <c r="E25" s="2269"/>
      <c r="F25" s="2269"/>
      <c r="G25" s="2269"/>
      <c r="H25" s="2269"/>
      <c r="I25" s="2269"/>
      <c r="J25" s="2269"/>
      <c r="K25" s="166"/>
      <c r="L25" s="166"/>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68" t="s">
        <v>2031</v>
      </c>
      <c r="B26" s="2312" t="s">
        <v>2032</v>
      </c>
      <c r="C26" s="2313" t="s">
        <v>2033</v>
      </c>
      <c r="D26" s="2270"/>
      <c r="E26" s="2269"/>
      <c r="F26" s="2269"/>
      <c r="G26" s="2269"/>
      <c r="H26" s="2269"/>
      <c r="I26" s="2269"/>
      <c r="J26" s="2269"/>
      <c r="K26" s="166"/>
      <c r="L26" s="166"/>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6" customFormat="1" ht="27.75">
      <c r="A27" s="2314" t="s">
        <v>2034</v>
      </c>
      <c r="B27" s="114">
        <v>246</v>
      </c>
      <c r="C27" s="1761" t="s">
        <v>2035</v>
      </c>
      <c r="D27" s="2315"/>
      <c r="E27" s="1424"/>
      <c r="F27" s="1424"/>
      <c r="G27" s="2269"/>
      <c r="H27" s="2269"/>
      <c r="I27" s="2269"/>
      <c r="J27" s="2269"/>
      <c r="K27" s="166"/>
      <c r="L27" s="166"/>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6" customFormat="1" ht="27.75">
      <c r="A28" s="2317" t="s">
        <v>2036</v>
      </c>
      <c r="B28" s="117">
        <v>246</v>
      </c>
      <c r="C28" s="2318"/>
      <c r="D28" s="2315"/>
      <c r="E28" s="1424"/>
      <c r="F28" s="1424"/>
      <c r="G28" s="2269"/>
      <c r="H28" s="2269"/>
      <c r="I28" s="2269"/>
      <c r="J28" s="2269"/>
      <c r="K28" s="166"/>
      <c r="L28" s="166"/>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6" customFormat="1" ht="28.5" thickBot="1">
      <c r="A29" s="2319" t="s">
        <v>2037</v>
      </c>
      <c r="B29" s="2971">
        <f>ROUND(B27*(K6+644.3)/10000,0)</f>
        <v>342</v>
      </c>
      <c r="C29" s="1761" t="s">
        <v>2038</v>
      </c>
      <c r="D29" s="2315"/>
      <c r="E29" s="1424"/>
      <c r="F29" s="1424"/>
      <c r="G29" s="2269"/>
      <c r="H29" s="2269"/>
      <c r="I29" s="2269"/>
      <c r="J29" s="2269"/>
      <c r="K29" s="166"/>
      <c r="L29" s="166"/>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6" customFormat="1" ht="27">
      <c r="A30" s="2320" t="s">
        <v>2039</v>
      </c>
      <c r="B30" s="722">
        <v>200</v>
      </c>
      <c r="C30" s="2318"/>
      <c r="D30" s="2315"/>
      <c r="E30" s="1424"/>
      <c r="F30" s="1424"/>
      <c r="G30" s="2269"/>
      <c r="H30" s="2269"/>
      <c r="I30" s="2269"/>
      <c r="J30" s="2269"/>
      <c r="K30" s="166"/>
      <c r="L30" s="166"/>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6" customFormat="1" ht="27">
      <c r="A31" s="2317" t="s">
        <v>2040</v>
      </c>
      <c r="B31" s="118">
        <f>B30-B32</f>
        <v>100</v>
      </c>
      <c r="C31" s="1761"/>
      <c r="D31" s="2315"/>
      <c r="E31" s="1424"/>
      <c r="F31" s="1424"/>
      <c r="G31" s="2269"/>
      <c r="H31" s="2269"/>
      <c r="I31" s="2269"/>
      <c r="J31" s="2269"/>
      <c r="K31" s="166"/>
      <c r="L31" s="166"/>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6" customFormat="1" ht="27.75" thickBot="1">
      <c r="A32" s="2321" t="s">
        <v>2041</v>
      </c>
      <c r="B32" s="2970">
        <v>100</v>
      </c>
      <c r="C32" s="2318"/>
      <c r="D32" s="2270"/>
      <c r="E32" s="2269"/>
      <c r="F32" s="2269"/>
      <c r="G32" s="2269"/>
      <c r="H32" s="2269"/>
      <c r="I32" s="2269"/>
      <c r="J32" s="2269"/>
      <c r="K32" s="166"/>
      <c r="L32" s="166"/>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6" customFormat="1" ht="14.25">
      <c r="A33" s="2314" t="s">
        <v>2042</v>
      </c>
      <c r="B33" s="723">
        <v>0.03</v>
      </c>
      <c r="C33" s="1760" t="s">
        <v>2043</v>
      </c>
      <c r="D33" s="2270"/>
      <c r="E33" s="2269"/>
      <c r="F33" s="2269"/>
      <c r="G33" s="2269"/>
      <c r="H33" s="2269"/>
      <c r="I33" s="2269"/>
      <c r="J33" s="2269"/>
      <c r="K33" s="166"/>
      <c r="L33" s="166"/>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6" customFormat="1" ht="14.25">
      <c r="A34" s="2317" t="s">
        <v>2044</v>
      </c>
      <c r="B34" s="119">
        <v>0.05</v>
      </c>
      <c r="C34" s="1760" t="s">
        <v>2045</v>
      </c>
      <c r="D34" s="2270" t="s">
        <v>2046</v>
      </c>
      <c r="E34" s="729"/>
      <c r="F34" s="2269"/>
      <c r="G34" s="2269"/>
      <c r="H34" s="2269"/>
      <c r="I34" s="2269"/>
      <c r="J34" s="2269"/>
      <c r="K34" s="166"/>
      <c r="L34" s="166"/>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6" customFormat="1" ht="14.25">
      <c r="A35" s="2317" t="s">
        <v>2047</v>
      </c>
      <c r="B35" s="117">
        <v>200</v>
      </c>
      <c r="C35" s="1760" t="s">
        <v>2048</v>
      </c>
      <c r="D35" s="2315"/>
      <c r="E35" s="1424"/>
      <c r="F35" s="1424"/>
      <c r="G35" s="2269"/>
      <c r="H35" s="2269"/>
      <c r="I35" s="2269"/>
      <c r="J35" s="2269"/>
      <c r="K35" s="166"/>
      <c r="L35" s="166"/>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19" t="s">
        <v>2049</v>
      </c>
      <c r="B36" s="120">
        <v>1.4999999999999999E-2</v>
      </c>
      <c r="C36" s="1760" t="s">
        <v>2050</v>
      </c>
      <c r="D36" s="2270"/>
      <c r="E36" s="2269"/>
      <c r="F36" s="2269"/>
      <c r="G36" s="2269"/>
      <c r="H36" s="2269"/>
      <c r="I36" s="2269"/>
      <c r="J36" s="2269"/>
      <c r="K36" s="166"/>
      <c r="L36" s="166"/>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0" t="s">
        <v>2051</v>
      </c>
      <c r="B37" s="121">
        <v>1.4999999999999999E-2</v>
      </c>
      <c r="C37" s="1760" t="s">
        <v>2052</v>
      </c>
      <c r="D37" s="2270"/>
      <c r="E37" s="2269"/>
      <c r="F37" s="2269"/>
      <c r="G37" s="2269"/>
      <c r="H37" s="2269"/>
      <c r="I37" s="2269"/>
      <c r="J37" s="2269"/>
      <c r="K37" s="166"/>
      <c r="L37" s="166"/>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7" t="s">
        <v>2053</v>
      </c>
      <c r="B38" s="119">
        <v>2.5000000000000001E-2</v>
      </c>
      <c r="C38" s="1760" t="s">
        <v>2052</v>
      </c>
      <c r="D38" s="2270"/>
      <c r="E38" s="2269"/>
      <c r="F38" s="2269"/>
      <c r="G38" s="2269"/>
      <c r="H38" s="2269"/>
      <c r="I38" s="2269"/>
      <c r="J38" s="2269"/>
      <c r="K38" s="166"/>
      <c r="L38" s="166"/>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1" t="s">
        <v>2054</v>
      </c>
      <c r="B39" s="360">
        <f ca="1">存贷款利率!I1</f>
        <v>1.4999999999999999E-2</v>
      </c>
      <c r="C39" s="1760"/>
      <c r="D39" s="2270"/>
      <c r="E39" s="2269"/>
      <c r="F39" s="2269"/>
      <c r="G39" s="2269"/>
      <c r="H39" s="2269"/>
      <c r="I39" s="2269"/>
      <c r="J39" s="2269"/>
      <c r="K39" s="166"/>
      <c r="L39" s="166"/>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1" t="s">
        <v>2055</v>
      </c>
      <c r="B40" s="1298">
        <f ca="1">存贷款利率!G1</f>
        <v>4.7500000000000001E-2</v>
      </c>
      <c r="C40" s="1760" t="s">
        <v>2056</v>
      </c>
      <c r="D40" s="1578"/>
      <c r="E40" s="2270"/>
      <c r="F40" s="2269"/>
      <c r="G40" s="2269"/>
      <c r="H40" s="2269"/>
      <c r="I40" s="2269"/>
      <c r="J40" s="2269"/>
      <c r="K40" s="166"/>
      <c r="L40" s="166"/>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4" t="s">
        <v>2057</v>
      </c>
      <c r="B41" s="122">
        <f>B42+B43</f>
        <v>5.6000000000000001E-2</v>
      </c>
      <c r="C41" s="1761"/>
      <c r="D41" s="1578"/>
      <c r="E41" s="2270"/>
      <c r="F41" s="2269"/>
      <c r="G41" s="2269"/>
      <c r="H41" s="2269"/>
      <c r="I41" s="2269"/>
      <c r="J41" s="2269"/>
      <c r="K41" s="166"/>
      <c r="L41" s="166"/>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2" t="s">
        <v>2058</v>
      </c>
      <c r="B42" s="123">
        <v>0.05</v>
      </c>
      <c r="C42" s="2323">
        <f>IF(B2&lt;DATE(2016,5,1),0,B42)</f>
        <v>0.05</v>
      </c>
      <c r="D42" s="2270"/>
      <c r="E42" s="2269"/>
      <c r="F42" s="2269"/>
      <c r="G42" s="2269"/>
      <c r="H42" s="2269"/>
      <c r="I42" s="2269"/>
      <c r="J42" s="2269"/>
      <c r="K42" s="166"/>
      <c r="L42" s="166"/>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2" t="s">
        <v>2059</v>
      </c>
      <c r="B43" s="124">
        <f>B42*(B44+B45+B46)+B47</f>
        <v>6.000000000000001E-3</v>
      </c>
      <c r="C43" s="1761"/>
      <c r="D43" s="2270"/>
      <c r="E43" s="2269"/>
      <c r="F43" s="2269"/>
      <c r="G43" s="2269"/>
      <c r="H43" s="2269"/>
      <c r="I43" s="2269"/>
      <c r="J43" s="2269"/>
      <c r="K43" s="166"/>
      <c r="L43" s="166"/>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4" t="s">
        <v>2060</v>
      </c>
      <c r="B44" s="125">
        <v>7.0000000000000007E-2</v>
      </c>
      <c r="C44" s="1760" t="s">
        <v>2061</v>
      </c>
      <c r="D44" s="2270"/>
      <c r="E44" s="2269"/>
      <c r="F44" s="2269"/>
      <c r="G44" s="2269"/>
      <c r="H44" s="2269"/>
      <c r="I44" s="2269"/>
      <c r="J44" s="2269"/>
      <c r="K44" s="166"/>
      <c r="L44" s="166"/>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4" t="s">
        <v>2062</v>
      </c>
      <c r="B45" s="123">
        <v>0.03</v>
      </c>
      <c r="C45" s="1761" t="s">
        <v>2063</v>
      </c>
      <c r="D45" s="2270"/>
      <c r="E45" s="2269"/>
      <c r="F45" s="2269"/>
      <c r="G45" s="2269"/>
      <c r="H45" s="2269"/>
      <c r="I45" s="2269"/>
      <c r="J45" s="2269"/>
      <c r="K45" s="166"/>
      <c r="L45" s="166"/>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4" t="s">
        <v>2064</v>
      </c>
      <c r="B46" s="123">
        <v>0.02</v>
      </c>
      <c r="C46" s="1761" t="s">
        <v>2065</v>
      </c>
      <c r="D46" s="2270"/>
      <c r="E46" s="2269"/>
      <c r="F46" s="2269"/>
      <c r="G46" s="2269"/>
      <c r="H46" s="2269"/>
      <c r="I46" s="2269"/>
      <c r="J46" s="2269"/>
      <c r="K46" s="166"/>
      <c r="L46" s="166"/>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5" t="s">
        <v>2066</v>
      </c>
      <c r="B47" s="126"/>
      <c r="C47" s="1761" t="s">
        <v>2067</v>
      </c>
      <c r="D47" s="2270"/>
      <c r="E47" s="2269"/>
      <c r="F47" s="2269"/>
      <c r="G47" s="2269"/>
      <c r="H47" s="2269"/>
      <c r="I47" s="2269"/>
      <c r="J47" s="2269"/>
      <c r="K47" s="166"/>
      <c r="L47" s="166"/>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6" t="s">
        <v>2068</v>
      </c>
      <c r="B48" s="127">
        <v>0.04</v>
      </c>
      <c r="C48" s="1768" t="s">
        <v>2069</v>
      </c>
      <c r="D48" s="2270"/>
      <c r="E48" s="2269"/>
      <c r="F48" s="2269"/>
      <c r="G48" s="2269"/>
      <c r="H48" s="2269"/>
      <c r="I48" s="2269"/>
      <c r="J48" s="2269"/>
      <c r="K48" s="166"/>
      <c r="L48" s="166"/>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1" t="s">
        <v>2070</v>
      </c>
      <c r="B49" s="123">
        <v>5.0000000000000001E-4</v>
      </c>
      <c r="C49" s="1768" t="s">
        <v>2071</v>
      </c>
      <c r="D49" s="2270"/>
      <c r="E49" s="2269"/>
      <c r="F49" s="2269"/>
      <c r="G49" s="2269"/>
      <c r="H49" s="2269"/>
      <c r="I49" s="2269"/>
      <c r="J49" s="2269"/>
      <c r="K49" s="166"/>
      <c r="L49" s="166"/>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7" t="s">
        <v>2072</v>
      </c>
      <c r="B50" s="128">
        <v>1.2E-2</v>
      </c>
      <c r="C50" s="1424"/>
      <c r="D50" s="2270"/>
      <c r="E50" s="2269"/>
      <c r="F50" s="2269"/>
      <c r="G50" s="2269"/>
      <c r="H50" s="2269"/>
      <c r="I50" s="2269"/>
      <c r="J50" s="2269"/>
      <c r="K50" s="166"/>
      <c r="L50" s="166"/>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19" t="s">
        <v>2073</v>
      </c>
      <c r="B51" s="129">
        <v>0.12</v>
      </c>
      <c r="C51" s="1424"/>
      <c r="D51" s="2270"/>
      <c r="E51" s="2269"/>
      <c r="F51" s="2269"/>
      <c r="G51" s="2269"/>
      <c r="H51" s="2269"/>
      <c r="I51" s="2269"/>
      <c r="J51" s="2269"/>
      <c r="K51" s="166"/>
      <c r="L51" s="166"/>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7" t="s">
        <v>2074</v>
      </c>
      <c r="B52" s="130">
        <f>SUMIF(A54:A63,B53,B54:B63)</f>
        <v>16</v>
      </c>
      <c r="C52" s="1424"/>
      <c r="D52" s="2270"/>
      <c r="E52" s="2269"/>
      <c r="F52" s="2269"/>
      <c r="G52" s="2269"/>
      <c r="H52" s="2269"/>
      <c r="I52" s="2269"/>
      <c r="J52" s="2269"/>
      <c r="K52" s="166"/>
      <c r="L52" s="166"/>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7" t="s">
        <v>2075</v>
      </c>
      <c r="B53" s="2328" t="s">
        <v>3099</v>
      </c>
      <c r="C53" s="1424" t="s">
        <v>2076</v>
      </c>
      <c r="D53" s="2329" t="s">
        <v>2077</v>
      </c>
      <c r="E53" s="2269"/>
      <c r="F53" s="2269"/>
      <c r="G53" s="2269"/>
      <c r="H53" s="2269"/>
      <c r="I53" s="2269"/>
      <c r="J53" s="2269"/>
      <c r="K53" s="166"/>
      <c r="L53" s="166"/>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0" t="s">
        <v>2078</v>
      </c>
      <c r="B54" s="82"/>
      <c r="C54" s="1424">
        <v>30</v>
      </c>
      <c r="D54" s="2270"/>
      <c r="E54" s="2269"/>
      <c r="F54" s="2269"/>
      <c r="G54" s="2269"/>
      <c r="H54" s="2269"/>
      <c r="I54" s="2269"/>
      <c r="J54" s="2269"/>
      <c r="K54" s="166"/>
      <c r="L54" s="166"/>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937" t="s">
        <v>3100</v>
      </c>
      <c r="B55" s="82">
        <v>16</v>
      </c>
      <c r="C55" s="1424">
        <v>24</v>
      </c>
      <c r="D55" s="2270"/>
      <c r="E55" s="2269"/>
      <c r="F55" s="2269"/>
      <c r="G55" s="2269"/>
      <c r="H55" s="2269"/>
      <c r="I55" s="2331"/>
      <c r="J55" s="2269"/>
      <c r="K55" s="166"/>
      <c r="L55" s="166"/>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0" t="s">
        <v>2079</v>
      </c>
      <c r="B56" s="82"/>
      <c r="C56" s="1424">
        <v>18</v>
      </c>
      <c r="D56" s="2270"/>
      <c r="E56" s="2269"/>
      <c r="F56" s="2269"/>
      <c r="G56" s="2269"/>
      <c r="H56" s="2269"/>
      <c r="I56" s="2269"/>
      <c r="J56" s="2269"/>
      <c r="K56" s="166"/>
      <c r="L56" s="166"/>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0" t="s">
        <v>2080</v>
      </c>
      <c r="B57" s="82"/>
      <c r="C57" s="1424">
        <v>12</v>
      </c>
      <c r="D57" s="2270"/>
      <c r="E57" s="2269"/>
      <c r="F57" s="2269"/>
      <c r="G57" s="2269"/>
      <c r="H57" s="2269"/>
      <c r="I57" s="2269"/>
      <c r="J57" s="2269"/>
      <c r="K57" s="166"/>
      <c r="L57" s="166"/>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0" t="s">
        <v>2081</v>
      </c>
      <c r="B58" s="82"/>
      <c r="C58" s="1424">
        <v>3</v>
      </c>
      <c r="D58" s="2270"/>
      <c r="E58" s="2269"/>
      <c r="F58" s="2269"/>
      <c r="G58" s="2269"/>
      <c r="H58" s="2269"/>
      <c r="I58" s="2269"/>
      <c r="J58" s="2269"/>
      <c r="K58" s="166"/>
      <c r="L58" s="166"/>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0" t="s">
        <v>2082</v>
      </c>
      <c r="B59" s="82"/>
      <c r="C59" s="1424">
        <v>1.5</v>
      </c>
      <c r="D59" s="2270"/>
      <c r="E59" s="2269"/>
      <c r="F59" s="2269"/>
      <c r="G59" s="2269"/>
      <c r="H59" s="2269"/>
      <c r="I59" s="2269"/>
      <c r="J59" s="2269"/>
      <c r="K59" s="166"/>
      <c r="L59" s="166"/>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0" t="s">
        <v>2083</v>
      </c>
      <c r="B60" s="82"/>
      <c r="C60" s="2269"/>
      <c r="D60" s="2270"/>
      <c r="E60" s="2269"/>
      <c r="F60" s="2269"/>
      <c r="G60" s="2269"/>
      <c r="H60" s="2269"/>
      <c r="I60" s="2269"/>
      <c r="J60" s="2269"/>
      <c r="K60" s="166"/>
      <c r="L60" s="166"/>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0" t="s">
        <v>2084</v>
      </c>
      <c r="B61" s="82"/>
      <c r="C61" s="2269"/>
      <c r="D61" s="2270"/>
      <c r="E61" s="2269"/>
      <c r="F61" s="2269"/>
      <c r="G61" s="2269"/>
      <c r="H61" s="2269"/>
      <c r="I61" s="2269"/>
      <c r="J61" s="2269"/>
      <c r="K61" s="166"/>
      <c r="L61" s="166"/>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0" t="s">
        <v>2085</v>
      </c>
      <c r="B62" s="82"/>
      <c r="C62" s="2269"/>
      <c r="D62" s="2270"/>
      <c r="E62" s="2269"/>
      <c r="F62" s="2269"/>
      <c r="G62" s="2269"/>
      <c r="H62" s="2269"/>
      <c r="I62" s="2269"/>
      <c r="J62" s="2269"/>
      <c r="K62" s="166"/>
      <c r="L62" s="166"/>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2" t="s">
        <v>2086</v>
      </c>
      <c r="B63" s="131"/>
      <c r="C63" s="2269"/>
      <c r="D63" s="2270"/>
      <c r="E63" s="2269"/>
      <c r="F63" s="2269"/>
      <c r="G63" s="2269"/>
      <c r="H63" s="2269"/>
      <c r="I63" s="2269"/>
      <c r="J63" s="2269"/>
      <c r="K63" s="166"/>
      <c r="L63" s="166"/>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2" customFormat="1">
      <c r="A64" s="2333"/>
      <c r="D64" s="2334"/>
      <c r="K64" s="795"/>
      <c r="L64" s="795"/>
    </row>
    <row r="65" spans="1:12" s="962" customFormat="1">
      <c r="A65" s="2333"/>
      <c r="D65" s="2334"/>
      <c r="K65" s="795"/>
      <c r="L65" s="795"/>
    </row>
    <row r="66" spans="1:12" s="962" customFormat="1">
      <c r="A66" s="2333"/>
      <c r="D66" s="2334"/>
      <c r="K66" s="795"/>
      <c r="L66" s="795"/>
    </row>
    <row r="67" spans="1:12" s="962" customFormat="1">
      <c r="A67" s="2333"/>
      <c r="D67" s="2334"/>
      <c r="K67" s="795"/>
      <c r="L67" s="795"/>
    </row>
    <row r="68" spans="1:12" s="962" customFormat="1">
      <c r="A68" s="2333"/>
      <c r="D68" s="2334"/>
      <c r="K68" s="795"/>
      <c r="L68" s="795"/>
    </row>
    <row r="69" spans="1:12" s="962" customFormat="1">
      <c r="A69" s="2333"/>
      <c r="D69" s="2334"/>
      <c r="K69" s="795"/>
      <c r="L69" s="795"/>
    </row>
    <row r="70" spans="1:12" s="962" customFormat="1">
      <c r="A70" s="2333"/>
      <c r="D70" s="2334"/>
      <c r="K70" s="795"/>
      <c r="L70" s="795"/>
    </row>
    <row r="71" spans="1:12" s="962" customFormat="1">
      <c r="A71" s="2333"/>
      <c r="D71" s="2334"/>
      <c r="K71" s="795"/>
      <c r="L71" s="795"/>
    </row>
    <row r="72" spans="1:12" s="962" customFormat="1">
      <c r="A72" s="2333"/>
      <c r="D72" s="2334"/>
      <c r="K72" s="795"/>
      <c r="L72" s="795"/>
    </row>
    <row r="73" spans="1:12" s="962" customFormat="1">
      <c r="A73" s="2333"/>
      <c r="D73" s="2334"/>
      <c r="K73" s="795"/>
      <c r="L73" s="795"/>
    </row>
    <row r="74" spans="1:12" s="962" customFormat="1">
      <c r="A74" s="2333"/>
      <c r="D74" s="2334"/>
      <c r="K74" s="795"/>
      <c r="L74" s="795"/>
    </row>
    <row r="75" spans="1:12" s="962" customFormat="1">
      <c r="A75" s="2333"/>
      <c r="D75" s="2334"/>
      <c r="K75" s="795"/>
      <c r="L75" s="795"/>
    </row>
    <row r="76" spans="1:12" s="962" customFormat="1">
      <c r="A76" s="2333"/>
      <c r="D76" s="2334"/>
      <c r="K76" s="795"/>
      <c r="L76" s="795"/>
    </row>
    <row r="77" spans="1:12" s="962" customFormat="1">
      <c r="A77" s="2333"/>
      <c r="D77" s="2334"/>
      <c r="K77" s="795"/>
      <c r="L77" s="795"/>
    </row>
    <row r="78" spans="1:12" s="962" customFormat="1">
      <c r="A78" s="2333"/>
      <c r="D78" s="2334"/>
      <c r="K78" s="795"/>
      <c r="L78" s="795"/>
    </row>
    <row r="79" spans="1:12" s="962" customFormat="1">
      <c r="A79" s="2333"/>
      <c r="D79" s="2334"/>
      <c r="K79" s="795"/>
      <c r="L79" s="795"/>
    </row>
    <row r="80" spans="1:12" s="962" customFormat="1">
      <c r="A80" s="2333"/>
      <c r="D80" s="2334"/>
      <c r="K80" s="795"/>
      <c r="L80" s="795"/>
    </row>
    <row r="81" spans="1:12" s="962" customFormat="1">
      <c r="A81" s="2333"/>
      <c r="D81" s="2334"/>
      <c r="K81" s="795"/>
      <c r="L81" s="795"/>
    </row>
    <row r="82" spans="1:12" s="962" customFormat="1">
      <c r="A82" s="2333"/>
      <c r="D82" s="2334"/>
      <c r="K82" s="795"/>
      <c r="L82" s="795"/>
    </row>
    <row r="83" spans="1:12" s="962" customFormat="1">
      <c r="A83" s="2333"/>
      <c r="D83" s="2334"/>
      <c r="K83" s="795"/>
      <c r="L83" s="795"/>
    </row>
    <row r="84" spans="1:12" s="962" customFormat="1">
      <c r="A84" s="2333"/>
      <c r="D84" s="2334"/>
      <c r="K84" s="795"/>
      <c r="L84" s="795"/>
    </row>
    <row r="85" spans="1:12" s="962" customFormat="1">
      <c r="A85" s="2333"/>
      <c r="D85" s="2334"/>
      <c r="K85" s="795"/>
      <c r="L85" s="795"/>
    </row>
    <row r="86" spans="1:12" s="962" customFormat="1">
      <c r="A86" s="2333"/>
      <c r="D86" s="2334"/>
      <c r="K86" s="795"/>
      <c r="L86" s="795"/>
    </row>
    <row r="87" spans="1:12" s="962" customFormat="1">
      <c r="A87" s="2333"/>
      <c r="D87" s="2334"/>
      <c r="K87" s="795"/>
      <c r="L87" s="795"/>
    </row>
    <row r="88" spans="1:12" s="962" customFormat="1">
      <c r="A88" s="2333"/>
      <c r="D88" s="2334"/>
      <c r="K88" s="795"/>
      <c r="L88" s="795"/>
    </row>
    <row r="89" spans="1:12" s="962" customFormat="1">
      <c r="A89" s="2333"/>
      <c r="D89" s="2334"/>
      <c r="K89" s="795"/>
      <c r="L89" s="795"/>
    </row>
    <row r="90" spans="1:12" s="962" customFormat="1">
      <c r="A90" s="2333"/>
      <c r="D90" s="2334"/>
      <c r="K90" s="795"/>
      <c r="L90" s="795"/>
    </row>
    <row r="91" spans="1:12" s="962" customFormat="1">
      <c r="A91" s="2333"/>
      <c r="D91" s="2334"/>
      <c r="K91" s="795"/>
      <c r="L91" s="795"/>
    </row>
    <row r="92" spans="1:12" s="962" customFormat="1">
      <c r="A92" s="2333"/>
      <c r="D92" s="2334"/>
      <c r="K92" s="795"/>
      <c r="L92" s="795"/>
    </row>
    <row r="93" spans="1:12" s="962" customFormat="1">
      <c r="A93" s="2333"/>
      <c r="D93" s="2334"/>
      <c r="K93" s="795"/>
      <c r="L93" s="795"/>
    </row>
    <row r="94" spans="1:12" s="962" customFormat="1">
      <c r="A94" s="2333"/>
      <c r="D94" s="2334"/>
      <c r="K94" s="795"/>
      <c r="L94" s="795"/>
    </row>
    <row r="95" spans="1:12" s="962" customFormat="1">
      <c r="A95" s="2333"/>
      <c r="D95" s="2334"/>
      <c r="K95" s="795"/>
      <c r="L95" s="795"/>
    </row>
    <row r="96" spans="1:12" s="962" customFormat="1">
      <c r="A96" s="2333"/>
      <c r="D96" s="2334"/>
      <c r="K96" s="795"/>
      <c r="L96" s="795"/>
    </row>
    <row r="97" spans="1:12" s="962" customFormat="1">
      <c r="A97" s="2333"/>
      <c r="D97" s="2334"/>
      <c r="K97" s="795"/>
      <c r="L97" s="795"/>
    </row>
    <row r="98" spans="1:12" s="962" customFormat="1">
      <c r="A98" s="2333"/>
      <c r="D98" s="2334"/>
      <c r="K98" s="795"/>
      <c r="L98" s="795"/>
    </row>
    <row r="99" spans="1:12" s="962" customFormat="1">
      <c r="A99" s="2333"/>
      <c r="D99" s="2334"/>
      <c r="K99" s="795"/>
      <c r="L99" s="795"/>
    </row>
    <row r="100" spans="1:12" s="962" customFormat="1">
      <c r="A100" s="2333"/>
      <c r="D100" s="2334"/>
      <c r="K100" s="795"/>
      <c r="L100" s="795"/>
    </row>
    <row r="101" spans="1:12" s="962" customFormat="1">
      <c r="A101" s="2333"/>
      <c r="D101" s="2334"/>
      <c r="K101" s="795"/>
      <c r="L101" s="795"/>
    </row>
    <row r="102" spans="1:12" s="962" customFormat="1">
      <c r="A102" s="2333"/>
      <c r="D102" s="2334"/>
      <c r="K102" s="795"/>
      <c r="L102" s="795"/>
    </row>
    <row r="103" spans="1:12" s="962" customFormat="1">
      <c r="A103" s="2333"/>
      <c r="D103" s="2334"/>
      <c r="K103" s="795"/>
      <c r="L103" s="795"/>
    </row>
    <row r="104" spans="1:12" s="962" customFormat="1">
      <c r="A104" s="2333"/>
      <c r="D104" s="2334"/>
      <c r="K104" s="795"/>
      <c r="L104" s="795"/>
    </row>
    <row r="105" spans="1:12" s="962" customFormat="1">
      <c r="A105" s="2333"/>
      <c r="D105" s="2334"/>
      <c r="K105" s="795"/>
      <c r="L105" s="795"/>
    </row>
    <row r="106" spans="1:12" s="962" customFormat="1">
      <c r="A106" s="2333"/>
      <c r="D106" s="2334"/>
      <c r="K106" s="795"/>
      <c r="L106" s="795"/>
    </row>
    <row r="107" spans="1:12" s="962" customFormat="1">
      <c r="A107" s="2333"/>
      <c r="D107" s="2334"/>
      <c r="K107" s="795"/>
      <c r="L107" s="795"/>
    </row>
    <row r="108" spans="1:12" s="962" customFormat="1">
      <c r="A108" s="2333"/>
      <c r="D108" s="2334"/>
      <c r="K108" s="795"/>
      <c r="L108" s="795"/>
    </row>
    <row r="109" spans="1:12" s="962" customFormat="1">
      <c r="A109" s="2333"/>
      <c r="D109" s="2334"/>
      <c r="K109" s="795"/>
      <c r="L109" s="795"/>
    </row>
    <row r="110" spans="1:12" s="962" customFormat="1">
      <c r="A110" s="2333"/>
      <c r="D110" s="2334"/>
      <c r="K110" s="795"/>
      <c r="L110" s="795"/>
    </row>
    <row r="111" spans="1:12" s="962" customFormat="1">
      <c r="A111" s="2333"/>
      <c r="D111" s="2334"/>
      <c r="K111" s="795"/>
      <c r="L111" s="795"/>
    </row>
    <row r="112" spans="1:12" s="962" customFormat="1">
      <c r="A112" s="2333"/>
      <c r="D112" s="2334"/>
      <c r="K112" s="795"/>
      <c r="L112" s="795"/>
    </row>
    <row r="113" spans="1:12" s="962" customFormat="1">
      <c r="A113" s="2333"/>
      <c r="D113" s="2334"/>
      <c r="K113" s="795"/>
      <c r="L113" s="795"/>
    </row>
    <row r="114" spans="1:12" s="962" customFormat="1">
      <c r="A114" s="2333"/>
      <c r="D114" s="2334"/>
      <c r="K114" s="795"/>
      <c r="L114" s="795"/>
    </row>
    <row r="115" spans="1:12" s="962" customFormat="1">
      <c r="A115" s="2333"/>
      <c r="D115" s="2334"/>
      <c r="K115" s="795"/>
      <c r="L115" s="795"/>
    </row>
    <row r="116" spans="1:12" s="962" customFormat="1">
      <c r="A116" s="2333"/>
      <c r="D116" s="2334"/>
      <c r="K116" s="795"/>
      <c r="L116" s="795"/>
    </row>
    <row r="117" spans="1:12" s="962" customFormat="1">
      <c r="A117" s="2333"/>
      <c r="D117" s="2334"/>
      <c r="K117" s="795"/>
      <c r="L117" s="795"/>
    </row>
    <row r="118" spans="1:12" s="962" customFormat="1">
      <c r="A118" s="2333"/>
      <c r="D118" s="2334"/>
      <c r="K118" s="795"/>
      <c r="L118" s="795"/>
    </row>
    <row r="119" spans="1:12" s="962" customFormat="1">
      <c r="A119" s="2333"/>
      <c r="D119" s="2334"/>
      <c r="K119" s="795"/>
      <c r="L119" s="795"/>
    </row>
    <row r="120" spans="1:12" s="962" customFormat="1">
      <c r="A120" s="2333"/>
      <c r="D120" s="2334"/>
      <c r="K120" s="795"/>
      <c r="L120" s="795"/>
    </row>
    <row r="121" spans="1:12" s="962" customFormat="1">
      <c r="A121" s="2333"/>
      <c r="D121" s="2334"/>
      <c r="K121" s="795"/>
      <c r="L121" s="795"/>
    </row>
    <row r="122" spans="1:12" s="962" customFormat="1">
      <c r="A122" s="2333"/>
      <c r="D122" s="2334"/>
      <c r="K122" s="795"/>
      <c r="L122" s="795"/>
    </row>
    <row r="123" spans="1:12" s="962" customFormat="1">
      <c r="A123" s="2333"/>
      <c r="D123" s="2334"/>
      <c r="K123" s="795"/>
      <c r="L123" s="795"/>
    </row>
    <row r="124" spans="1:12" s="962" customFormat="1">
      <c r="A124" s="2333"/>
      <c r="D124" s="2334"/>
      <c r="K124" s="795"/>
      <c r="L124" s="795"/>
    </row>
    <row r="125" spans="1:12" s="962" customFormat="1">
      <c r="A125" s="2333"/>
      <c r="D125" s="2334"/>
      <c r="K125" s="795"/>
      <c r="L125" s="795"/>
    </row>
    <row r="126" spans="1:12" s="962" customFormat="1">
      <c r="A126" s="2333"/>
      <c r="D126" s="2334"/>
      <c r="K126" s="795"/>
      <c r="L126" s="795"/>
    </row>
    <row r="127" spans="1:12" s="962" customFormat="1">
      <c r="A127" s="2333"/>
      <c r="D127" s="2334"/>
      <c r="K127" s="795"/>
      <c r="L127" s="795"/>
    </row>
    <row r="128" spans="1:12" s="962" customFormat="1">
      <c r="A128" s="2333"/>
      <c r="D128" s="2334"/>
      <c r="K128" s="795"/>
      <c r="L128" s="795"/>
    </row>
    <row r="129" spans="1:12" s="962" customFormat="1">
      <c r="A129" s="2333"/>
      <c r="D129" s="2334"/>
      <c r="K129" s="795"/>
      <c r="L129" s="795"/>
    </row>
    <row r="130" spans="1:12" s="962" customFormat="1">
      <c r="A130" s="2333"/>
      <c r="D130" s="2334"/>
      <c r="K130" s="795"/>
      <c r="L130" s="795"/>
    </row>
    <row r="131" spans="1:12" s="962" customFormat="1">
      <c r="A131" s="2333"/>
      <c r="D131" s="2334"/>
      <c r="K131" s="795"/>
      <c r="L131" s="795"/>
    </row>
    <row r="132" spans="1:12" s="962" customFormat="1">
      <c r="A132" s="2333"/>
      <c r="D132" s="2334"/>
      <c r="K132" s="795"/>
      <c r="L132" s="795"/>
    </row>
    <row r="133" spans="1:12" s="962" customFormat="1">
      <c r="A133" s="2333"/>
      <c r="D133" s="2334"/>
      <c r="K133" s="795"/>
      <c r="L133" s="795"/>
    </row>
    <row r="134" spans="1:12" s="2266" customFormat="1">
      <c r="A134" s="2335"/>
      <c r="D134" s="2336"/>
      <c r="K134" s="27"/>
      <c r="L134" s="27"/>
    </row>
    <row r="135" spans="1:12" s="2266" customFormat="1">
      <c r="A135" s="2335"/>
      <c r="D135" s="2336"/>
      <c r="K135" s="27"/>
      <c r="L135" s="27"/>
    </row>
    <row r="136" spans="1:12" s="2266" customFormat="1">
      <c r="A136" s="2335"/>
      <c r="D136" s="2336"/>
      <c r="K136" s="27"/>
      <c r="L136" s="27"/>
    </row>
    <row r="137" spans="1:12" s="2266" customFormat="1">
      <c r="A137" s="2335"/>
      <c r="D137" s="2336"/>
      <c r="K137" s="27"/>
      <c r="L137" s="27"/>
    </row>
    <row r="138" spans="1:12" s="2266" customFormat="1">
      <c r="A138" s="2335"/>
      <c r="D138" s="2336"/>
      <c r="K138" s="27"/>
      <c r="L138" s="27"/>
    </row>
    <row r="139" spans="1:12" s="2266" customFormat="1">
      <c r="A139" s="2335"/>
      <c r="D139" s="2336"/>
      <c r="K139" s="27"/>
      <c r="L139" s="27"/>
    </row>
    <row r="140" spans="1:12" s="2266" customFormat="1">
      <c r="A140" s="2335"/>
      <c r="D140" s="2336"/>
      <c r="K140" s="27"/>
      <c r="L140" s="27"/>
    </row>
    <row r="141" spans="1:12" s="2266" customFormat="1">
      <c r="A141" s="2335"/>
      <c r="D141" s="2336"/>
      <c r="K141" s="27"/>
      <c r="L141" s="27"/>
    </row>
    <row r="142" spans="1:12" s="2266" customFormat="1">
      <c r="A142" s="2335"/>
      <c r="D142" s="2336"/>
      <c r="K142" s="27"/>
      <c r="L142" s="27"/>
    </row>
    <row r="143" spans="1:12" s="2266" customFormat="1">
      <c r="A143" s="2335"/>
      <c r="D143" s="2336"/>
      <c r="K143" s="27"/>
      <c r="L143" s="27"/>
    </row>
    <row r="144" spans="1:12" s="2266" customFormat="1">
      <c r="A144" s="2335"/>
      <c r="D144" s="2336"/>
      <c r="K144" s="27"/>
      <c r="L144" s="27"/>
    </row>
    <row r="145" spans="1:12" s="2266" customFormat="1">
      <c r="A145" s="2335"/>
      <c r="D145" s="2336"/>
      <c r="K145" s="27"/>
      <c r="L145" s="27"/>
    </row>
    <row r="146" spans="1:12" s="2266" customFormat="1">
      <c r="A146" s="2335"/>
      <c r="D146" s="2336"/>
      <c r="K146" s="27"/>
      <c r="L146" s="27"/>
    </row>
    <row r="147" spans="1:12" s="2266" customFormat="1">
      <c r="A147" s="2335"/>
      <c r="D147" s="2336"/>
      <c r="K147" s="27"/>
      <c r="L147" s="27"/>
    </row>
    <row r="148" spans="1:12" s="2266" customFormat="1">
      <c r="A148" s="2335"/>
      <c r="D148" s="2336"/>
      <c r="K148" s="27"/>
      <c r="L148" s="27"/>
    </row>
    <row r="149" spans="1:12" s="2266" customFormat="1">
      <c r="A149" s="2335"/>
      <c r="D149" s="2336"/>
      <c r="K149" s="27"/>
      <c r="L149" s="27"/>
    </row>
    <row r="150" spans="1:12" s="2266" customFormat="1">
      <c r="A150" s="2335"/>
      <c r="D150" s="2336"/>
      <c r="K150" s="27"/>
      <c r="L150" s="27"/>
    </row>
    <row r="151" spans="1:12" s="2266" customFormat="1">
      <c r="A151" s="2335"/>
      <c r="D151" s="2336"/>
      <c r="K151" s="27"/>
      <c r="L151" s="27"/>
    </row>
    <row r="152" spans="1:12" s="2266" customFormat="1">
      <c r="A152" s="2335"/>
      <c r="D152" s="2336"/>
      <c r="K152" s="27"/>
      <c r="L152" s="27"/>
    </row>
    <row r="153" spans="1:12" s="2266" customFormat="1">
      <c r="A153" s="2335"/>
      <c r="D153" s="2336"/>
      <c r="K153" s="27"/>
      <c r="L153" s="27"/>
    </row>
    <row r="154" spans="1:12" s="2266" customFormat="1">
      <c r="A154" s="2335"/>
      <c r="D154" s="2336"/>
      <c r="K154" s="27"/>
      <c r="L154" s="27"/>
    </row>
    <row r="155" spans="1:12" s="2266" customFormat="1">
      <c r="A155" s="2335"/>
      <c r="D155" s="2336"/>
      <c r="K155" s="27"/>
      <c r="L155" s="27"/>
    </row>
    <row r="156" spans="1:12" s="2266" customFormat="1">
      <c r="A156" s="2335"/>
      <c r="D156" s="2336"/>
      <c r="K156" s="27"/>
      <c r="L156" s="27"/>
    </row>
    <row r="157" spans="1:12" s="2266" customFormat="1">
      <c r="A157" s="2335"/>
      <c r="D157" s="2336"/>
      <c r="K157" s="27"/>
      <c r="L157" s="27"/>
    </row>
    <row r="158" spans="1:12" s="2266" customFormat="1">
      <c r="A158" s="2335"/>
      <c r="D158" s="2336"/>
      <c r="K158" s="27"/>
      <c r="L158" s="27"/>
    </row>
    <row r="159" spans="1:12" s="2266" customFormat="1">
      <c r="A159" s="2335"/>
      <c r="D159" s="2336"/>
      <c r="K159" s="27"/>
      <c r="L159" s="27"/>
    </row>
    <row r="160" spans="1:12" s="2266" customFormat="1">
      <c r="A160" s="2335"/>
      <c r="D160" s="2336"/>
      <c r="K160" s="27"/>
      <c r="L160" s="27"/>
    </row>
    <row r="161" spans="1:12" s="2266" customFormat="1">
      <c r="A161" s="2335"/>
      <c r="D161" s="2336"/>
      <c r="K161" s="27"/>
      <c r="L161" s="27"/>
    </row>
    <row r="162" spans="1:12" s="2266" customFormat="1">
      <c r="A162" s="2335"/>
      <c r="D162" s="2336"/>
      <c r="K162" s="27"/>
      <c r="L162" s="27"/>
    </row>
    <row r="163" spans="1:12" s="2266" customFormat="1">
      <c r="A163" s="2335"/>
      <c r="D163" s="2336"/>
      <c r="K163" s="27"/>
      <c r="L163" s="27"/>
    </row>
    <row r="164" spans="1:12" s="2266" customFormat="1">
      <c r="A164" s="2335"/>
      <c r="D164" s="2336"/>
      <c r="K164" s="27"/>
      <c r="L164" s="27"/>
    </row>
    <row r="165" spans="1:12" s="2266" customFormat="1">
      <c r="A165" s="2335"/>
      <c r="D165" s="2336"/>
      <c r="K165" s="27"/>
      <c r="L165" s="27"/>
    </row>
    <row r="166" spans="1:12" s="2266" customFormat="1">
      <c r="A166" s="2335"/>
      <c r="D166" s="2336"/>
      <c r="K166" s="27"/>
      <c r="L166" s="27"/>
    </row>
    <row r="167" spans="1:12" s="2266" customFormat="1">
      <c r="A167" s="2335"/>
      <c r="D167" s="2336"/>
      <c r="K167" s="27"/>
      <c r="L167" s="27"/>
    </row>
    <row r="168" spans="1:12" s="2266" customFormat="1">
      <c r="A168" s="2335"/>
      <c r="D168" s="2336"/>
      <c r="K168" s="27"/>
      <c r="L168" s="27"/>
    </row>
    <row r="169" spans="1:12" s="2266" customFormat="1">
      <c r="A169" s="2335"/>
      <c r="D169" s="2336"/>
      <c r="K169" s="27"/>
      <c r="L169" s="27"/>
    </row>
    <row r="170" spans="1:12" s="2266" customFormat="1">
      <c r="A170" s="2335"/>
      <c r="D170" s="2336"/>
      <c r="K170" s="27"/>
      <c r="L170" s="27"/>
    </row>
    <row r="171" spans="1:12" s="2266" customFormat="1">
      <c r="A171" s="2335"/>
      <c r="D171" s="2336"/>
      <c r="K171" s="27"/>
      <c r="L171" s="27"/>
    </row>
    <row r="172" spans="1:12" s="2266" customFormat="1">
      <c r="A172" s="2335"/>
      <c r="D172" s="2336"/>
      <c r="K172" s="27"/>
      <c r="L172" s="27"/>
    </row>
    <row r="173" spans="1:12" s="2266" customFormat="1">
      <c r="A173" s="2335"/>
      <c r="D173" s="2336"/>
      <c r="K173" s="27"/>
      <c r="L173" s="27"/>
    </row>
    <row r="174" spans="1:12" s="2266" customFormat="1">
      <c r="A174" s="2335"/>
      <c r="D174" s="233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I21" r:id="rId1" display="javascript:top.main.DataEdit('37',16);"/>
  </hyperlinks>
  <pageMargins left="0.7" right="0.7" top="0.75" bottom="0.75" header="0.3" footer="0.3"/>
  <pageSetup paperSize="9" scale="25" fitToHeight="0" orientation="portrait" r:id="rId2"/>
  <ignoredErrors>
    <ignoredError sqref="G16:H16" formulaRange="1"/>
  </ignoredErrors>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1"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0"/>
    <col min="30" max="16384" width="9" style="2361"/>
  </cols>
  <sheetData>
    <row r="1" spans="1:29" s="2354" customFormat="1" ht="19.5" thickBot="1">
      <c r="A1" s="3083" t="s">
        <v>2087</v>
      </c>
      <c r="B1" s="3084"/>
      <c r="C1" s="3084"/>
      <c r="D1" s="3084"/>
      <c r="E1" s="3084"/>
      <c r="F1" s="3084"/>
      <c r="G1" s="3084"/>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2088</v>
      </c>
      <c r="D2" s="2358"/>
      <c r="E2" s="2359"/>
      <c r="F2" s="2278"/>
      <c r="G2" s="2357" t="s">
        <v>2089</v>
      </c>
      <c r="H2" s="2360"/>
      <c r="I2" s="2360"/>
      <c r="J2" s="2360"/>
      <c r="K2" s="2360"/>
      <c r="L2" s="2360"/>
      <c r="M2" s="2360"/>
      <c r="N2" s="2360"/>
      <c r="O2" s="2360"/>
      <c r="P2" s="2360"/>
      <c r="Q2" s="2360"/>
      <c r="R2" s="2360"/>
    </row>
    <row r="3" spans="1:29" ht="54">
      <c r="A3" s="413" t="s">
        <v>2090</v>
      </c>
      <c r="B3" s="1266" t="s">
        <v>2091</v>
      </c>
      <c r="C3" s="2362" t="s">
        <v>2092</v>
      </c>
      <c r="D3" s="2363"/>
      <c r="E3" s="429" t="s">
        <v>2090</v>
      </c>
      <c r="F3" s="2364" t="s">
        <v>2093</v>
      </c>
      <c r="G3" s="2365" t="s">
        <v>2094</v>
      </c>
      <c r="H3" s="2360"/>
      <c r="I3" s="2360"/>
      <c r="J3" s="2360"/>
      <c r="K3" s="2360"/>
      <c r="L3" s="2360"/>
      <c r="M3" s="2360"/>
      <c r="N3" s="2360"/>
      <c r="O3" s="2360"/>
      <c r="P3" s="2360"/>
      <c r="Q3" s="2360"/>
      <c r="R3" s="2360"/>
    </row>
    <row r="4" spans="1:29" ht="41.25">
      <c r="A4" s="429"/>
      <c r="B4" s="1792" t="s">
        <v>2095</v>
      </c>
      <c r="C4" s="2366" t="s">
        <v>2096</v>
      </c>
      <c r="D4" s="2363"/>
      <c r="E4" s="2367"/>
      <c r="F4" s="42" t="s">
        <v>2097</v>
      </c>
      <c r="G4" s="2368" t="s">
        <v>2098</v>
      </c>
      <c r="H4" s="2360"/>
      <c r="I4" s="2360"/>
      <c r="J4" s="2360"/>
      <c r="K4" s="2360"/>
      <c r="L4" s="2360"/>
      <c r="M4" s="2360"/>
      <c r="N4" s="2360"/>
      <c r="O4" s="2360"/>
      <c r="P4" s="2360"/>
      <c r="Q4" s="2360"/>
      <c r="R4" s="2360"/>
    </row>
    <row r="5" spans="1:29" ht="41.25">
      <c r="A5" s="429"/>
      <c r="B5" s="1792" t="s">
        <v>2099</v>
      </c>
      <c r="C5" s="2366" t="s">
        <v>2100</v>
      </c>
      <c r="D5" s="2363"/>
      <c r="E5" s="2367"/>
      <c r="F5" s="1792" t="s">
        <v>2101</v>
      </c>
      <c r="G5" s="2368" t="s">
        <v>2102</v>
      </c>
      <c r="H5" s="2360"/>
      <c r="I5" s="2360"/>
      <c r="J5" s="2360"/>
      <c r="K5" s="2360"/>
      <c r="L5" s="2360"/>
      <c r="M5" s="2360"/>
      <c r="N5" s="2360"/>
      <c r="O5" s="2360"/>
      <c r="P5" s="2360"/>
      <c r="Q5" s="2360"/>
      <c r="R5" s="2360"/>
    </row>
    <row r="6" spans="1:29" ht="54">
      <c r="A6" s="429"/>
      <c r="B6" s="1792" t="s">
        <v>2103</v>
      </c>
      <c r="C6" s="2368" t="s">
        <v>2098</v>
      </c>
      <c r="D6" s="2363"/>
      <c r="E6" s="2367"/>
      <c r="F6" s="1792" t="s">
        <v>2104</v>
      </c>
      <c r="G6" s="2368" t="s">
        <v>2105</v>
      </c>
      <c r="H6" s="2360"/>
      <c r="I6" s="2360"/>
      <c r="J6" s="2360"/>
      <c r="K6" s="2360"/>
      <c r="L6" s="2360"/>
      <c r="M6" s="2360"/>
      <c r="N6" s="2360"/>
      <c r="O6" s="2360"/>
      <c r="P6" s="2360"/>
      <c r="Q6" s="2360"/>
      <c r="R6" s="2360"/>
    </row>
    <row r="7" spans="1:29" ht="41.25" thickBot="1">
      <c r="A7" s="429"/>
      <c r="B7" s="1792" t="s">
        <v>2101</v>
      </c>
      <c r="C7" s="2368" t="s">
        <v>2102</v>
      </c>
      <c r="D7" s="2369"/>
      <c r="E7" s="2370"/>
      <c r="F7" s="2371" t="s">
        <v>2106</v>
      </c>
      <c r="G7" s="2372" t="s">
        <v>2107</v>
      </c>
      <c r="H7" s="2360"/>
      <c r="I7" s="2360"/>
      <c r="J7" s="2360"/>
      <c r="K7" s="2360"/>
      <c r="L7" s="2360"/>
      <c r="M7" s="2360"/>
      <c r="N7" s="2360"/>
      <c r="O7" s="2360"/>
      <c r="P7" s="2360"/>
      <c r="Q7" s="2360"/>
      <c r="R7" s="2360"/>
    </row>
    <row r="8" spans="1:29" ht="27">
      <c r="A8" s="429"/>
      <c r="B8" s="1792" t="s">
        <v>2104</v>
      </c>
      <c r="C8" s="2368" t="s">
        <v>2105</v>
      </c>
      <c r="D8" s="2369"/>
      <c r="E8" s="2369"/>
      <c r="F8" s="1131"/>
      <c r="G8" s="1131"/>
      <c r="H8" s="2360"/>
      <c r="I8" s="2360"/>
      <c r="J8" s="2360"/>
      <c r="K8" s="2360"/>
      <c r="L8" s="2360"/>
      <c r="M8" s="2360"/>
      <c r="N8" s="2360"/>
      <c r="O8" s="2360"/>
      <c r="P8" s="2360"/>
      <c r="Q8" s="2360"/>
      <c r="R8" s="2360"/>
    </row>
    <row r="9" spans="1:29" ht="27">
      <c r="A9" s="429"/>
      <c r="B9" s="1792" t="s">
        <v>2108</v>
      </c>
      <c r="C9" s="2366" t="s">
        <v>2109</v>
      </c>
      <c r="D9" s="2363"/>
      <c r="E9" s="2369"/>
      <c r="F9" s="1131"/>
      <c r="G9" s="1131"/>
      <c r="H9" s="2360"/>
      <c r="I9" s="2360"/>
      <c r="J9" s="2360"/>
      <c r="K9" s="2360"/>
      <c r="L9" s="2360"/>
      <c r="M9" s="2360"/>
      <c r="N9" s="2360"/>
      <c r="O9" s="2360"/>
      <c r="P9" s="2360"/>
      <c r="Q9" s="2360"/>
      <c r="R9" s="2360"/>
    </row>
    <row r="10" spans="1:29" s="115" customFormat="1" ht="15.75" thickBot="1">
      <c r="A10" s="2373"/>
      <c r="B10" s="2374" t="s">
        <v>2110</v>
      </c>
      <c r="C10" s="2375"/>
      <c r="D10" s="2363"/>
      <c r="E10" s="2363"/>
      <c r="F10" s="1131"/>
      <c r="G10" s="1131"/>
      <c r="H10" s="2376"/>
      <c r="I10" s="2377"/>
      <c r="J10" s="2378"/>
      <c r="K10" s="2376"/>
      <c r="L10" s="2377"/>
      <c r="M10" s="2378"/>
      <c r="N10" s="2376"/>
      <c r="O10" s="2377"/>
      <c r="P10" s="2378"/>
      <c r="Q10" s="2376"/>
      <c r="R10" s="2377"/>
      <c r="S10" s="2360"/>
      <c r="T10" s="2360"/>
      <c r="U10" s="2360"/>
      <c r="V10" s="2360"/>
      <c r="W10" s="2360"/>
      <c r="X10" s="2360"/>
      <c r="Y10" s="2360"/>
      <c r="Z10" s="2360"/>
      <c r="AA10" s="2360"/>
      <c r="AB10" s="2360"/>
      <c r="AC10" s="2360"/>
    </row>
    <row r="11" spans="1:29" s="115" customFormat="1" ht="15">
      <c r="A11" s="2379"/>
      <c r="B11" s="2369"/>
      <c r="C11" s="2363"/>
      <c r="D11" s="2363"/>
      <c r="E11" s="2363"/>
      <c r="F11" s="2369"/>
      <c r="G11" s="1149"/>
      <c r="H11" s="2376"/>
      <c r="I11" s="2377"/>
      <c r="J11" s="2378"/>
      <c r="K11" s="2376"/>
      <c r="L11" s="2377"/>
      <c r="M11" s="2378"/>
      <c r="N11" s="2376"/>
      <c r="O11" s="2377"/>
      <c r="P11" s="2378"/>
      <c r="Q11" s="2376"/>
      <c r="R11" s="2377"/>
      <c r="S11" s="2360"/>
      <c r="T11" s="2360"/>
      <c r="U11" s="2360"/>
      <c r="V11" s="2360"/>
      <c r="W11" s="2360"/>
      <c r="X11" s="2360"/>
      <c r="Y11" s="2360"/>
      <c r="Z11" s="2360"/>
      <c r="AA11" s="2360"/>
      <c r="AB11" s="2360"/>
      <c r="AC11" s="2360"/>
    </row>
    <row r="12" spans="1:29" s="2354" customFormat="1" ht="18">
      <c r="A12" s="2379"/>
      <c r="B12" s="2369"/>
      <c r="C12" s="2363"/>
      <c r="D12" s="2380"/>
      <c r="E12" s="2363"/>
      <c r="F12" s="2369"/>
      <c r="G12" s="1149"/>
      <c r="H12" s="2381"/>
      <c r="I12" s="2382"/>
      <c r="J12" s="2381"/>
      <c r="K12" s="2381"/>
      <c r="L12" s="2383"/>
      <c r="M12" s="2381"/>
      <c r="N12" s="2384"/>
      <c r="O12" s="2385"/>
      <c r="P12" s="2384"/>
      <c r="Q12" s="2384"/>
      <c r="R12" s="2352"/>
      <c r="S12" s="2353"/>
      <c r="T12" s="2353"/>
      <c r="U12" s="2353"/>
      <c r="V12" s="2353"/>
      <c r="W12" s="2353"/>
      <c r="X12" s="2353"/>
      <c r="Y12" s="2353"/>
      <c r="Z12" s="2353"/>
      <c r="AA12" s="2353"/>
      <c r="AB12" s="2353"/>
      <c r="AC12" s="2353"/>
    </row>
    <row r="13" spans="1:29" ht="19.5" thickBot="1">
      <c r="A13" s="2386" t="s">
        <v>2111</v>
      </c>
      <c r="B13" s="2380"/>
      <c r="C13" s="2380"/>
      <c r="D13" s="2387"/>
      <c r="E13" s="2380"/>
      <c r="F13" s="2380"/>
      <c r="G13" s="2380"/>
    </row>
    <row r="14" spans="1:29" ht="15.75" thickBot="1">
      <c r="A14" s="2391"/>
      <c r="B14" s="2392"/>
      <c r="C14" s="2393" t="s">
        <v>2112</v>
      </c>
      <c r="D14" s="2363"/>
      <c r="E14" s="2394"/>
      <c r="F14" s="2394"/>
      <c r="G14" s="2357" t="s">
        <v>2113</v>
      </c>
    </row>
    <row r="15" spans="1:29" ht="57">
      <c r="A15" s="67" t="s">
        <v>2114</v>
      </c>
      <c r="B15" s="1265" t="s">
        <v>2091</v>
      </c>
      <c r="C15" s="2395" t="str">
        <f>C3</f>
        <v>估价对象周边居住用地比例、居住小区规模和社区发展完善程度，综合评价居住社区成熟度一般</v>
      </c>
      <c r="D15" s="2363"/>
      <c r="E15" s="2396" t="s">
        <v>2115</v>
      </c>
      <c r="F15" s="1265" t="s">
        <v>2116</v>
      </c>
      <c r="G15" s="132" t="str">
        <f>G3</f>
        <v>估价对象位于XX开发区，园区建设成熟度XX，产业集聚程度XX</v>
      </c>
    </row>
    <row r="16" spans="1:29" ht="42.75">
      <c r="A16" s="643"/>
      <c r="B16" s="2397" t="s">
        <v>2095</v>
      </c>
      <c r="C16" s="2398" t="str">
        <f>C4</f>
        <v>估价对象位于XX商圈，周边商业氛围成熟，人流量大，商业繁华度好</v>
      </c>
      <c r="D16" s="2363"/>
      <c r="E16" s="2399"/>
      <c r="F16" s="2400" t="s">
        <v>2097</v>
      </c>
      <c r="G16" s="133" t="str">
        <f>G4</f>
        <v>估价对象周边道路状况、公共交通通达情况、停车便捷程度，综合评价交通便捷度较好</v>
      </c>
    </row>
    <row r="17" spans="1:18" ht="42.75">
      <c r="A17" s="643"/>
      <c r="B17" s="2397" t="s">
        <v>2099</v>
      </c>
      <c r="C17" s="2398" t="str">
        <f>C5</f>
        <v>估价对象位于XX商圈，周边办公楼项目较多，入驻率高，办公集聚程度较好</v>
      </c>
      <c r="D17" s="2369"/>
      <c r="E17" s="2399"/>
      <c r="F17" s="2400" t="s">
        <v>2117</v>
      </c>
      <c r="G17" s="1567"/>
    </row>
    <row r="18" spans="1:18" ht="57">
      <c r="A18" s="643"/>
      <c r="B18" s="2400" t="s">
        <v>2103</v>
      </c>
      <c r="C18" s="133" t="str">
        <f>C6</f>
        <v>估价对象周边道路状况、公共交通通达情况、停车便捷程度，综合评价交通便捷度较好</v>
      </c>
      <c r="D18" s="2369"/>
      <c r="E18" s="2399"/>
      <c r="F18" s="2400" t="s">
        <v>2106</v>
      </c>
      <c r="G18" s="133" t="str">
        <f>G7</f>
        <v>该园区内是否有污染型企业，绿化情况，卫生条件，整体环境状况判断</v>
      </c>
    </row>
    <row r="19" spans="1:18" ht="28.5">
      <c r="A19" s="643"/>
      <c r="B19" s="2400" t="s">
        <v>2118</v>
      </c>
      <c r="C19" s="1567"/>
      <c r="D19" s="2363"/>
      <c r="E19" s="2399"/>
      <c r="F19" s="1792" t="s">
        <v>2101</v>
      </c>
      <c r="G19" s="133" t="str">
        <f>G5</f>
        <v>估价对象所在区域公共配套设施齐备情况</v>
      </c>
    </row>
    <row r="20" spans="1:18" ht="28.5">
      <c r="A20" s="643"/>
      <c r="B20" s="2400" t="s">
        <v>2119</v>
      </c>
      <c r="C20" s="2398" t="str">
        <f>C9</f>
        <v>区域自然环境：；人文环境；综合评价环境状况一般</v>
      </c>
      <c r="D20" s="2369"/>
      <c r="E20" s="2399"/>
      <c r="F20" s="1792" t="s">
        <v>2120</v>
      </c>
      <c r="G20" s="133" t="str">
        <f>G6</f>
        <v>估价对象所在区域基础设施水平</v>
      </c>
    </row>
    <row r="21" spans="1:18" ht="28.5">
      <c r="A21" s="643"/>
      <c r="B21" s="1792" t="s">
        <v>2101</v>
      </c>
      <c r="C21" s="133" t="str">
        <f>C7</f>
        <v>估价对象所在区域公共配套设施齐备情况</v>
      </c>
      <c r="D21" s="2363"/>
      <c r="E21" s="2399"/>
      <c r="F21" s="2400" t="s">
        <v>2121</v>
      </c>
      <c r="G21" s="2401"/>
    </row>
    <row r="22" spans="1:18" ht="13.5" customHeight="1">
      <c r="A22" s="643"/>
      <c r="B22" s="1792" t="s">
        <v>2104</v>
      </c>
      <c r="C22" s="133" t="str">
        <f>C8</f>
        <v>估价对象所在区域基础设施水平</v>
      </c>
      <c r="D22" s="2363"/>
      <c r="E22" s="2399"/>
      <c r="F22" s="2400" t="s">
        <v>2110</v>
      </c>
      <c r="G22" s="1567"/>
    </row>
    <row r="23" spans="1:18" s="2360" customFormat="1" ht="15.75" thickBot="1">
      <c r="A23" s="643"/>
      <c r="B23" s="2400" t="s">
        <v>2121</v>
      </c>
      <c r="C23" s="2401"/>
      <c r="D23" s="2388"/>
      <c r="E23" s="2402"/>
      <c r="F23" s="2403" t="s">
        <v>2122</v>
      </c>
      <c r="G23" s="2404"/>
      <c r="H23" s="2388"/>
      <c r="I23" s="2389"/>
      <c r="J23" s="2388"/>
      <c r="K23" s="2388"/>
      <c r="L23" s="2389"/>
      <c r="M23" s="2388"/>
      <c r="N23" s="2388"/>
      <c r="O23" s="2389"/>
      <c r="P23" s="2388"/>
      <c r="Q23" s="2388"/>
      <c r="R23" s="2390"/>
    </row>
    <row r="24" spans="1:18" s="2360" customFormat="1" ht="15.75" thickBot="1">
      <c r="A24" s="2405"/>
      <c r="B24" s="2403" t="s">
        <v>2123</v>
      </c>
      <c r="C24" s="134">
        <f>C10</f>
        <v>0</v>
      </c>
      <c r="D24" s="2388"/>
      <c r="E24" s="2406"/>
      <c r="F24" s="2406"/>
      <c r="G24" s="2407"/>
      <c r="H24" s="2388"/>
      <c r="I24" s="2389"/>
      <c r="J24" s="2388"/>
      <c r="K24" s="2388"/>
      <c r="L24" s="2389"/>
      <c r="M24" s="2388"/>
      <c r="N24" s="2388"/>
      <c r="O24" s="2389"/>
      <c r="P24" s="2388"/>
      <c r="Q24" s="2388"/>
      <c r="R24" s="2390"/>
    </row>
    <row r="25" spans="1:18" s="2360" customFormat="1">
      <c r="B25" s="2388"/>
      <c r="C25" s="2388"/>
      <c r="D25" s="2388"/>
      <c r="H25" s="2388"/>
      <c r="I25" s="2389"/>
      <c r="J25" s="2388"/>
      <c r="K25" s="2388"/>
      <c r="L25" s="2389"/>
      <c r="M25" s="2388"/>
      <c r="N25" s="2388"/>
      <c r="O25" s="2389"/>
      <c r="P25" s="2388"/>
      <c r="Q25" s="2388"/>
      <c r="R25" s="2390"/>
    </row>
    <row r="26" spans="1:18" s="2360" customFormat="1">
      <c r="B26" s="2388"/>
      <c r="C26" s="2388"/>
      <c r="D26" s="2388"/>
      <c r="H26" s="2388"/>
      <c r="I26" s="2389"/>
      <c r="J26" s="2388"/>
      <c r="K26" s="2388"/>
      <c r="L26" s="2389"/>
      <c r="M26" s="2388"/>
      <c r="N26" s="2388"/>
      <c r="O26" s="2389"/>
      <c r="P26" s="2388"/>
      <c r="Q26" s="2388"/>
      <c r="R26" s="2390"/>
    </row>
    <row r="27" spans="1:18" s="2360" customFormat="1">
      <c r="B27" s="2388"/>
      <c r="C27" s="2388"/>
      <c r="D27" s="2388"/>
      <c r="H27" s="2388"/>
      <c r="I27" s="2389"/>
      <c r="J27" s="2388"/>
      <c r="K27" s="2388"/>
      <c r="L27" s="2389"/>
      <c r="M27" s="2388"/>
      <c r="N27" s="2388"/>
      <c r="O27" s="2389"/>
      <c r="P27" s="2388"/>
      <c r="Q27" s="2388"/>
      <c r="R27" s="2390"/>
    </row>
    <row r="28" spans="1:18" s="2360" customFormat="1">
      <c r="B28" s="2388"/>
      <c r="C28" s="2388"/>
      <c r="D28" s="2388"/>
      <c r="H28" s="2388"/>
      <c r="I28" s="2389"/>
      <c r="J28" s="2388"/>
      <c r="K28" s="2388"/>
      <c r="L28" s="2389"/>
      <c r="M28" s="2388"/>
      <c r="N28" s="2388"/>
      <c r="O28" s="2389"/>
      <c r="P28" s="2388"/>
      <c r="Q28" s="2388"/>
      <c r="R28" s="2390"/>
    </row>
    <row r="29" spans="1:18" s="2360" customFormat="1">
      <c r="B29" s="2388"/>
      <c r="C29" s="2388"/>
      <c r="D29" s="2388"/>
      <c r="H29" s="2388"/>
      <c r="I29" s="2389"/>
      <c r="J29" s="2388"/>
      <c r="K29" s="2388"/>
      <c r="L29" s="2389"/>
      <c r="M29" s="2388"/>
      <c r="N29" s="2388"/>
      <c r="O29" s="2389"/>
      <c r="P29" s="2388"/>
      <c r="Q29" s="2388"/>
      <c r="R29" s="2390"/>
    </row>
    <row r="30" spans="1:18" s="2360" customFormat="1">
      <c r="B30" s="2388"/>
      <c r="C30" s="2388"/>
      <c r="D30" s="2388"/>
      <c r="H30" s="2388"/>
      <c r="I30" s="2389"/>
      <c r="J30" s="2388"/>
      <c r="K30" s="2388"/>
      <c r="L30" s="2389"/>
      <c r="M30" s="2388"/>
      <c r="N30" s="2388"/>
      <c r="O30" s="2389"/>
      <c r="P30" s="2388"/>
      <c r="Q30" s="2388"/>
      <c r="R30" s="2390"/>
    </row>
    <row r="31" spans="1:18" s="2360" customFormat="1">
      <c r="B31" s="2388"/>
      <c r="C31" s="2388"/>
      <c r="D31" s="2388"/>
      <c r="H31" s="2388"/>
      <c r="I31" s="2389"/>
      <c r="J31" s="2388"/>
      <c r="K31" s="2388"/>
      <c r="L31" s="2389"/>
      <c r="M31" s="2388"/>
      <c r="N31" s="2388"/>
      <c r="O31" s="2389"/>
      <c r="P31" s="2388"/>
      <c r="Q31" s="2388"/>
      <c r="R31" s="2390"/>
    </row>
    <row r="32" spans="1:18" s="2360" customFormat="1">
      <c r="B32" s="2388"/>
      <c r="C32" s="2388"/>
      <c r="D32" s="2388"/>
      <c r="H32" s="2388"/>
      <c r="I32" s="2389"/>
      <c r="J32" s="2388"/>
      <c r="K32" s="2388"/>
      <c r="L32" s="2389"/>
      <c r="M32" s="2388"/>
      <c r="N32" s="2388"/>
      <c r="O32" s="2389"/>
      <c r="P32" s="2388"/>
      <c r="Q32" s="2388"/>
      <c r="R32" s="2390"/>
    </row>
    <row r="33" spans="2:18" s="2360" customFormat="1">
      <c r="B33" s="2388"/>
      <c r="C33" s="2388"/>
      <c r="D33" s="2388"/>
      <c r="H33" s="2388"/>
      <c r="I33" s="2389"/>
      <c r="J33" s="2388"/>
      <c r="K33" s="2388"/>
      <c r="L33" s="2389"/>
      <c r="M33" s="2388"/>
      <c r="N33" s="2388"/>
      <c r="O33" s="2389"/>
      <c r="P33" s="2388"/>
      <c r="Q33" s="2388"/>
      <c r="R33" s="2390"/>
    </row>
    <row r="34" spans="2:18" s="2360" customFormat="1">
      <c r="B34" s="2388"/>
      <c r="C34" s="2388"/>
      <c r="D34" s="2388"/>
      <c r="H34" s="2388"/>
      <c r="I34" s="2389"/>
      <c r="J34" s="2388"/>
      <c r="K34" s="2388"/>
      <c r="L34" s="2389"/>
      <c r="M34" s="2388"/>
      <c r="N34" s="2388"/>
      <c r="O34" s="2389"/>
      <c r="P34" s="2388"/>
      <c r="Q34" s="2388"/>
      <c r="R34" s="2390"/>
    </row>
    <row r="35" spans="2:18" s="2360" customFormat="1">
      <c r="B35" s="2388"/>
      <c r="C35" s="2388"/>
      <c r="D35" s="2388"/>
      <c r="H35" s="2388"/>
      <c r="I35" s="2389"/>
      <c r="J35" s="2388"/>
      <c r="K35" s="2388"/>
      <c r="L35" s="2389"/>
      <c r="M35" s="2388"/>
      <c r="N35" s="2388"/>
      <c r="O35" s="2389"/>
      <c r="P35" s="2388"/>
      <c r="Q35" s="2388"/>
      <c r="R35" s="2390"/>
    </row>
    <row r="36" spans="2:18" s="2360" customFormat="1">
      <c r="B36" s="2388"/>
      <c r="C36" s="2388"/>
      <c r="D36" s="2388"/>
      <c r="H36" s="2388"/>
      <c r="I36" s="2389"/>
      <c r="J36" s="2388"/>
      <c r="K36" s="2388"/>
      <c r="L36" s="2389"/>
      <c r="M36" s="2388"/>
      <c r="N36" s="2388"/>
      <c r="O36" s="2389"/>
      <c r="P36" s="2388"/>
      <c r="Q36" s="2388"/>
      <c r="R36" s="2390"/>
    </row>
    <row r="37" spans="2:18" s="2360" customFormat="1">
      <c r="B37" s="2388"/>
      <c r="C37" s="2388"/>
      <c r="D37" s="2388"/>
      <c r="H37" s="2388"/>
      <c r="I37" s="2389"/>
      <c r="J37" s="2388"/>
      <c r="K37" s="2388"/>
      <c r="L37" s="2389"/>
      <c r="M37" s="2388"/>
      <c r="N37" s="2388"/>
      <c r="O37" s="2389"/>
      <c r="P37" s="2388"/>
      <c r="Q37" s="2388"/>
      <c r="R37" s="2390"/>
    </row>
    <row r="38" spans="2:18" s="2360" customFormat="1">
      <c r="B38" s="2388"/>
      <c r="C38" s="2388"/>
      <c r="D38" s="2388"/>
      <c r="E38" s="2388"/>
      <c r="F38" s="2388"/>
      <c r="G38" s="2389"/>
      <c r="H38" s="2388"/>
      <c r="I38" s="2389"/>
      <c r="J38" s="2388"/>
      <c r="K38" s="2388"/>
      <c r="L38" s="2389"/>
      <c r="M38" s="2388"/>
      <c r="N38" s="2388"/>
      <c r="O38" s="2389"/>
      <c r="P38" s="2388"/>
      <c r="Q38" s="2388"/>
      <c r="R38" s="2390"/>
    </row>
    <row r="39" spans="2:18" s="2360" customFormat="1">
      <c r="B39" s="2388"/>
      <c r="C39" s="2388"/>
      <c r="D39" s="2388"/>
      <c r="E39" s="2388"/>
      <c r="F39" s="2388"/>
      <c r="G39" s="2389"/>
      <c r="H39" s="2388"/>
      <c r="I39" s="2389"/>
      <c r="J39" s="2388"/>
      <c r="K39" s="2388"/>
      <c r="L39" s="2389"/>
      <c r="M39" s="2388"/>
      <c r="N39" s="2388"/>
      <c r="O39" s="2389"/>
      <c r="P39" s="2388"/>
      <c r="Q39" s="2388"/>
      <c r="R39" s="2390"/>
    </row>
    <row r="40" spans="2:18" s="2360" customFormat="1">
      <c r="B40" s="2388"/>
      <c r="C40" s="2388"/>
      <c r="D40" s="2388"/>
      <c r="E40" s="2388"/>
      <c r="F40" s="2388"/>
      <c r="G40" s="2389"/>
      <c r="H40" s="2388"/>
      <c r="I40" s="2389"/>
      <c r="J40" s="2388"/>
      <c r="K40" s="2388"/>
      <c r="L40" s="2389"/>
      <c r="M40" s="2388"/>
      <c r="N40" s="2388"/>
      <c r="O40" s="2389"/>
      <c r="P40" s="2388"/>
      <c r="Q40" s="2388"/>
      <c r="R40" s="2390"/>
    </row>
    <row r="41" spans="2:18" s="2360" customFormat="1">
      <c r="B41" s="2388"/>
      <c r="C41" s="2388"/>
      <c r="D41" s="2388"/>
      <c r="E41" s="2388"/>
      <c r="F41" s="2388"/>
      <c r="G41" s="2389"/>
      <c r="H41" s="2388"/>
      <c r="I41" s="2389"/>
      <c r="J41" s="2388"/>
      <c r="K41" s="2388"/>
      <c r="L41" s="2389"/>
      <c r="M41" s="2388"/>
      <c r="N41" s="2388"/>
      <c r="O41" s="2389"/>
      <c r="P41" s="2388"/>
      <c r="Q41" s="2388"/>
      <c r="R41" s="2390"/>
    </row>
    <row r="42" spans="2:18" s="2360" customFormat="1">
      <c r="B42" s="2388"/>
      <c r="C42" s="2388"/>
      <c r="D42" s="2388"/>
      <c r="E42" s="2388"/>
      <c r="F42" s="2388"/>
      <c r="G42" s="2389"/>
      <c r="H42" s="2388"/>
      <c r="I42" s="2389"/>
      <c r="J42" s="2388"/>
      <c r="K42" s="2388"/>
      <c r="L42" s="2389"/>
      <c r="M42" s="2388"/>
      <c r="N42" s="2388"/>
      <c r="O42" s="2389"/>
      <c r="P42" s="2388"/>
      <c r="Q42" s="2388"/>
      <c r="R42" s="2390"/>
    </row>
    <row r="43" spans="2:18" s="2360" customFormat="1">
      <c r="B43" s="2388"/>
      <c r="C43" s="2388"/>
      <c r="D43" s="2388"/>
      <c r="E43" s="2388"/>
      <c r="F43" s="2388"/>
      <c r="G43" s="2389"/>
      <c r="H43" s="2388"/>
      <c r="I43" s="2389"/>
      <c r="J43" s="2388"/>
      <c r="K43" s="2388"/>
      <c r="L43" s="2389"/>
      <c r="M43" s="2388"/>
      <c r="N43" s="2388"/>
      <c r="O43" s="2389"/>
      <c r="P43" s="2388"/>
      <c r="Q43" s="2388"/>
      <c r="R43" s="2390"/>
    </row>
    <row r="44" spans="2:18" s="2360" customFormat="1">
      <c r="B44" s="2388"/>
      <c r="C44" s="2388"/>
      <c r="D44" s="2388"/>
      <c r="E44" s="2388"/>
      <c r="F44" s="2388"/>
      <c r="G44" s="2389"/>
      <c r="H44" s="2388"/>
      <c r="I44" s="2389"/>
      <c r="J44" s="2388"/>
      <c r="K44" s="2388"/>
      <c r="L44" s="2389"/>
      <c r="M44" s="2388"/>
      <c r="N44" s="2388"/>
      <c r="O44" s="2389"/>
      <c r="P44" s="2388"/>
      <c r="Q44" s="2388"/>
      <c r="R44" s="2390"/>
    </row>
    <row r="45" spans="2:18" s="2360" customFormat="1">
      <c r="B45" s="2388"/>
      <c r="C45" s="2388"/>
      <c r="D45" s="2388"/>
      <c r="E45" s="2388"/>
      <c r="F45" s="2388"/>
      <c r="G45" s="2389"/>
      <c r="H45" s="2388"/>
      <c r="I45" s="2389"/>
      <c r="J45" s="2388"/>
      <c r="K45" s="2388"/>
      <c r="L45" s="2389"/>
      <c r="M45" s="2388"/>
      <c r="N45" s="2388"/>
      <c r="O45" s="2389"/>
      <c r="P45" s="2388"/>
      <c r="Q45" s="2388"/>
      <c r="R45" s="2390"/>
    </row>
    <row r="46" spans="2:18" s="2360" customFormat="1">
      <c r="B46" s="2388"/>
      <c r="C46" s="2388"/>
      <c r="D46" s="2388"/>
      <c r="E46" s="2388"/>
      <c r="F46" s="2388"/>
      <c r="G46" s="2389"/>
      <c r="H46" s="2388"/>
      <c r="I46" s="2389"/>
      <c r="J46" s="2388"/>
      <c r="K46" s="2388"/>
      <c r="L46" s="2389"/>
      <c r="M46" s="2388"/>
      <c r="N46" s="2388"/>
      <c r="O46" s="2389"/>
      <c r="P46" s="2388"/>
      <c r="Q46" s="2388"/>
      <c r="R46" s="2390"/>
    </row>
    <row r="47" spans="2:18" s="2360" customFormat="1">
      <c r="B47" s="2388"/>
      <c r="C47" s="2388"/>
      <c r="D47" s="2388"/>
      <c r="E47" s="2388"/>
      <c r="F47" s="2388"/>
      <c r="G47" s="2389"/>
      <c r="H47" s="2388"/>
      <c r="I47" s="2389"/>
      <c r="J47" s="2388"/>
      <c r="K47" s="2388"/>
      <c r="L47" s="2389"/>
      <c r="M47" s="2388"/>
      <c r="N47" s="2388"/>
      <c r="O47" s="2389"/>
      <c r="P47" s="2388"/>
      <c r="Q47" s="2388"/>
      <c r="R47" s="2390"/>
    </row>
    <row r="48" spans="2:18" s="2360" customFormat="1">
      <c r="B48" s="2388"/>
      <c r="C48" s="2388"/>
      <c r="D48" s="2388"/>
      <c r="E48" s="2388"/>
      <c r="F48" s="2388"/>
      <c r="G48" s="2389"/>
      <c r="H48" s="2388"/>
      <c r="I48" s="2389"/>
      <c r="J48" s="2388"/>
      <c r="K48" s="2388"/>
      <c r="L48" s="2389"/>
      <c r="M48" s="2388"/>
      <c r="N48" s="2388"/>
      <c r="O48" s="2389"/>
      <c r="P48" s="2388"/>
      <c r="Q48" s="2388"/>
      <c r="R48" s="2390"/>
    </row>
    <row r="49" spans="2:18" s="2360" customFormat="1">
      <c r="B49" s="2388"/>
      <c r="C49" s="2388"/>
      <c r="D49" s="2388"/>
      <c r="E49" s="2388"/>
      <c r="F49" s="2388"/>
      <c r="G49" s="2389"/>
      <c r="H49" s="2388"/>
      <c r="I49" s="2389"/>
      <c r="J49" s="2388"/>
      <c r="K49" s="2388"/>
      <c r="L49" s="2389"/>
      <c r="M49" s="2388"/>
      <c r="N49" s="2388"/>
      <c r="O49" s="2389"/>
      <c r="P49" s="2388"/>
      <c r="Q49" s="2388"/>
      <c r="R49" s="2390"/>
    </row>
    <row r="50" spans="2:18" s="2360" customFormat="1">
      <c r="B50" s="2388"/>
      <c r="C50" s="2388"/>
      <c r="D50" s="2388"/>
      <c r="E50" s="2388"/>
      <c r="F50" s="2388"/>
      <c r="G50" s="2389"/>
      <c r="H50" s="2388"/>
      <c r="I50" s="2389"/>
      <c r="J50" s="2388"/>
      <c r="K50" s="2388"/>
      <c r="L50" s="2389"/>
      <c r="M50" s="2388"/>
      <c r="N50" s="2388"/>
      <c r="O50" s="2389"/>
      <c r="P50" s="2388"/>
      <c r="Q50" s="2388"/>
      <c r="R50" s="2390"/>
    </row>
    <row r="51" spans="2:18" s="2360" customFormat="1">
      <c r="B51" s="2388"/>
      <c r="C51" s="2388"/>
      <c r="D51" s="2388"/>
      <c r="E51" s="2388"/>
      <c r="F51" s="2388"/>
      <c r="G51" s="2389"/>
      <c r="H51" s="2388"/>
      <c r="I51" s="2389"/>
      <c r="J51" s="2388"/>
      <c r="K51" s="2388"/>
      <c r="L51" s="2389"/>
      <c r="M51" s="2388"/>
      <c r="N51" s="2388"/>
      <c r="O51" s="2389"/>
      <c r="P51" s="2388"/>
      <c r="Q51" s="2388"/>
      <c r="R51" s="2390"/>
    </row>
    <row r="52" spans="2:18" s="2360" customFormat="1">
      <c r="B52" s="2388"/>
      <c r="C52" s="2388"/>
      <c r="D52" s="2388"/>
      <c r="E52" s="2388"/>
      <c r="F52" s="2388"/>
      <c r="G52" s="2389"/>
      <c r="H52" s="2388"/>
      <c r="I52" s="2389"/>
      <c r="J52" s="2388"/>
      <c r="K52" s="2388"/>
      <c r="L52" s="2389"/>
      <c r="M52" s="2388"/>
      <c r="N52" s="2388"/>
      <c r="O52" s="2389"/>
      <c r="P52" s="2388"/>
      <c r="Q52" s="2388"/>
      <c r="R52" s="2390"/>
    </row>
    <row r="53" spans="2:18" s="2360" customFormat="1">
      <c r="B53" s="2388"/>
      <c r="C53" s="2388"/>
      <c r="D53" s="2388"/>
      <c r="E53" s="2388"/>
      <c r="F53" s="2388"/>
      <c r="G53" s="2389"/>
      <c r="H53" s="2388"/>
      <c r="I53" s="2389"/>
      <c r="J53" s="2388"/>
      <c r="K53" s="2388"/>
      <c r="L53" s="2389"/>
      <c r="M53" s="2388"/>
      <c r="N53" s="2388"/>
      <c r="O53" s="2389"/>
      <c r="P53" s="2388"/>
      <c r="Q53" s="2388"/>
      <c r="R53" s="2390"/>
    </row>
    <row r="54" spans="2:18" s="2360" customFormat="1">
      <c r="B54" s="2388"/>
      <c r="C54" s="2388"/>
      <c r="D54" s="2388"/>
      <c r="E54" s="2388"/>
      <c r="F54" s="2388"/>
      <c r="G54" s="2389"/>
      <c r="H54" s="2388"/>
      <c r="I54" s="2389"/>
      <c r="J54" s="2388"/>
      <c r="K54" s="2388"/>
      <c r="L54" s="2389"/>
      <c r="M54" s="2388"/>
      <c r="N54" s="2388"/>
      <c r="O54" s="2389"/>
      <c r="P54" s="2388"/>
      <c r="Q54" s="2388"/>
      <c r="R54" s="2390"/>
    </row>
    <row r="55" spans="2:18" s="2360" customFormat="1">
      <c r="B55" s="2388"/>
      <c r="C55" s="2388"/>
      <c r="D55" s="2388"/>
      <c r="E55" s="2388"/>
      <c r="F55" s="2388"/>
      <c r="G55" s="2389"/>
      <c r="H55" s="2388"/>
      <c r="I55" s="2389"/>
      <c r="J55" s="2388"/>
      <c r="K55" s="2388"/>
      <c r="L55" s="2389"/>
      <c r="M55" s="2388"/>
      <c r="N55" s="2388"/>
      <c r="O55" s="2389"/>
      <c r="P55" s="2388"/>
      <c r="Q55" s="2388"/>
      <c r="R55" s="2390"/>
    </row>
    <row r="56" spans="2:18" s="2360" customFormat="1">
      <c r="B56" s="2388"/>
      <c r="C56" s="2388"/>
      <c r="D56" s="2388"/>
      <c r="E56" s="2388"/>
      <c r="F56" s="2388"/>
      <c r="G56" s="2389"/>
      <c r="H56" s="2388"/>
      <c r="I56" s="2389"/>
      <c r="J56" s="2388"/>
      <c r="K56" s="2388"/>
      <c r="L56" s="2389"/>
      <c r="M56" s="2388"/>
      <c r="N56" s="2388"/>
      <c r="O56" s="2389"/>
      <c r="P56" s="2388"/>
      <c r="Q56" s="2388"/>
      <c r="R56" s="2390"/>
    </row>
    <row r="57" spans="2:18" s="2360" customFormat="1">
      <c r="B57" s="2388"/>
      <c r="C57" s="2388"/>
      <c r="D57" s="2388"/>
      <c r="E57" s="2388"/>
      <c r="F57" s="2388"/>
      <c r="G57" s="2389"/>
      <c r="H57" s="2388"/>
      <c r="I57" s="2389"/>
      <c r="J57" s="2388"/>
      <c r="K57" s="2388"/>
      <c r="L57" s="2389"/>
      <c r="M57" s="2388"/>
      <c r="N57" s="2388"/>
      <c r="O57" s="2389"/>
      <c r="P57" s="2388"/>
      <c r="Q57" s="2388"/>
      <c r="R57" s="2390"/>
    </row>
    <row r="58" spans="2:18" s="2360" customFormat="1">
      <c r="B58" s="2388"/>
      <c r="C58" s="2388"/>
      <c r="D58" s="2388"/>
      <c r="E58" s="2388"/>
      <c r="F58" s="2388"/>
      <c r="G58" s="2389"/>
      <c r="H58" s="2388"/>
      <c r="I58" s="2389"/>
      <c r="J58" s="2388"/>
      <c r="K58" s="2388"/>
      <c r="L58" s="2389"/>
      <c r="M58" s="2388"/>
      <c r="N58" s="2388"/>
      <c r="O58" s="2389"/>
      <c r="P58" s="2388"/>
      <c r="Q58" s="2388"/>
      <c r="R58" s="2390"/>
    </row>
    <row r="59" spans="2:18" s="2360" customFormat="1">
      <c r="B59" s="2388"/>
      <c r="C59" s="2388"/>
      <c r="D59" s="2388"/>
      <c r="E59" s="2388"/>
      <c r="F59" s="2388"/>
      <c r="G59" s="2389"/>
      <c r="H59" s="2388"/>
      <c r="I59" s="2389"/>
      <c r="J59" s="2388"/>
      <c r="K59" s="2388"/>
      <c r="L59" s="2389"/>
      <c r="M59" s="2388"/>
      <c r="N59" s="2388"/>
      <c r="O59" s="2389"/>
      <c r="P59" s="2388"/>
      <c r="Q59" s="2388"/>
      <c r="R59" s="2390"/>
    </row>
    <row r="60" spans="2:18" s="2360" customFormat="1">
      <c r="B60" s="2388"/>
      <c r="C60" s="2388"/>
      <c r="D60" s="2388"/>
      <c r="E60" s="2388"/>
      <c r="F60" s="2388"/>
      <c r="G60" s="2389"/>
      <c r="H60" s="2388"/>
      <c r="I60" s="2389"/>
      <c r="J60" s="2388"/>
      <c r="K60" s="2388"/>
      <c r="L60" s="2389"/>
      <c r="M60" s="2388"/>
      <c r="N60" s="2388"/>
      <c r="O60" s="2389"/>
      <c r="P60" s="2388"/>
      <c r="Q60" s="2388"/>
      <c r="R60" s="2390"/>
    </row>
    <row r="61" spans="2:18" s="2360" customFormat="1">
      <c r="B61" s="2388"/>
      <c r="C61" s="2388"/>
      <c r="D61" s="2388"/>
      <c r="E61" s="2388"/>
      <c r="F61" s="2388"/>
      <c r="G61" s="2389"/>
      <c r="H61" s="2388"/>
      <c r="I61" s="2389"/>
      <c r="J61" s="2388"/>
      <c r="K61" s="2388"/>
      <c r="L61" s="2389"/>
      <c r="M61" s="2388"/>
      <c r="N61" s="2388"/>
      <c r="O61" s="2389"/>
      <c r="P61" s="2388"/>
      <c r="Q61" s="2388"/>
      <c r="R61" s="2390"/>
    </row>
    <row r="62" spans="2:18" s="2360" customFormat="1">
      <c r="B62" s="2388"/>
      <c r="C62" s="2388"/>
      <c r="D62" s="2388"/>
      <c r="E62" s="2388"/>
      <c r="F62" s="2388"/>
      <c r="G62" s="2389"/>
      <c r="H62" s="2388"/>
      <c r="I62" s="2389"/>
      <c r="J62" s="2388"/>
      <c r="K62" s="2388"/>
      <c r="L62" s="2389"/>
      <c r="M62" s="2388"/>
      <c r="N62" s="2388"/>
      <c r="O62" s="2389"/>
      <c r="P62" s="2388"/>
      <c r="Q62" s="2388"/>
      <c r="R62" s="2390"/>
    </row>
    <row r="63" spans="2:18" s="2360" customFormat="1">
      <c r="B63" s="2388"/>
      <c r="C63" s="2388"/>
      <c r="D63" s="2388"/>
      <c r="E63" s="2388"/>
      <c r="F63" s="2388"/>
      <c r="G63" s="2389"/>
      <c r="H63" s="2388"/>
      <c r="I63" s="2389"/>
      <c r="J63" s="2388"/>
      <c r="K63" s="2388"/>
      <c r="L63" s="2389"/>
      <c r="M63" s="2388"/>
      <c r="N63" s="2388"/>
      <c r="O63" s="2389"/>
      <c r="P63" s="2388"/>
      <c r="Q63" s="2388"/>
      <c r="R63" s="2390"/>
    </row>
    <row r="64" spans="2:18" s="2360" customFormat="1">
      <c r="B64" s="2388"/>
      <c r="C64" s="2388"/>
      <c r="D64" s="2388"/>
      <c r="E64" s="2388"/>
      <c r="F64" s="2388"/>
      <c r="G64" s="2389"/>
      <c r="H64" s="2388"/>
      <c r="I64" s="2389"/>
      <c r="J64" s="2388"/>
      <c r="K64" s="2388"/>
      <c r="L64" s="2389"/>
      <c r="M64" s="2388"/>
      <c r="N64" s="2388"/>
      <c r="O64" s="2389"/>
      <c r="P64" s="2388"/>
      <c r="Q64" s="2388"/>
      <c r="R64" s="2390"/>
    </row>
    <row r="65" spans="2:18" s="2360" customFormat="1">
      <c r="B65" s="2388"/>
      <c r="C65" s="2388"/>
      <c r="D65" s="2388"/>
      <c r="E65" s="2388"/>
      <c r="F65" s="2388"/>
      <c r="G65" s="2389"/>
      <c r="H65" s="2388"/>
      <c r="I65" s="2389"/>
      <c r="J65" s="2388"/>
      <c r="K65" s="2388"/>
      <c r="L65" s="2389"/>
      <c r="M65" s="2388"/>
      <c r="N65" s="2388"/>
      <c r="O65" s="2389"/>
      <c r="P65" s="2388"/>
      <c r="Q65" s="2388"/>
      <c r="R65" s="2390"/>
    </row>
    <row r="66" spans="2:18" s="2360" customFormat="1">
      <c r="B66" s="2388"/>
      <c r="C66" s="2388"/>
      <c r="D66" s="2388"/>
      <c r="E66" s="2388"/>
      <c r="F66" s="2388"/>
      <c r="G66" s="2389"/>
      <c r="H66" s="2388"/>
      <c r="I66" s="2389"/>
      <c r="J66" s="2388"/>
      <c r="K66" s="2388"/>
      <c r="L66" s="2389"/>
      <c r="M66" s="2388"/>
      <c r="N66" s="2388"/>
      <c r="O66" s="2389"/>
      <c r="P66" s="2388"/>
      <c r="Q66" s="2388"/>
      <c r="R66" s="2390"/>
    </row>
    <row r="67" spans="2:18" s="2360" customFormat="1">
      <c r="B67" s="2388"/>
      <c r="C67" s="2388"/>
      <c r="D67" s="2388"/>
      <c r="E67" s="2388"/>
      <c r="F67" s="2388"/>
      <c r="G67" s="2389"/>
      <c r="H67" s="2388"/>
      <c r="I67" s="2389"/>
      <c r="J67" s="2388"/>
      <c r="K67" s="2388"/>
      <c r="L67" s="2389"/>
      <c r="M67" s="2388"/>
      <c r="N67" s="2388"/>
      <c r="O67" s="2389"/>
      <c r="P67" s="2388"/>
      <c r="Q67" s="2388"/>
      <c r="R67" s="2390"/>
    </row>
    <row r="68" spans="2:18" s="2360" customFormat="1">
      <c r="B68" s="2388"/>
      <c r="C68" s="2388"/>
      <c r="D68" s="2388"/>
      <c r="E68" s="2388"/>
      <c r="F68" s="2388"/>
      <c r="G68" s="2389"/>
      <c r="H68" s="2388"/>
      <c r="I68" s="2389"/>
      <c r="J68" s="2388"/>
      <c r="K68" s="2388"/>
      <c r="L68" s="2389"/>
      <c r="M68" s="2388"/>
      <c r="N68" s="2388"/>
      <c r="O68" s="2389"/>
      <c r="P68" s="2388"/>
      <c r="Q68" s="2388"/>
      <c r="R68" s="2390"/>
    </row>
    <row r="69" spans="2:18" s="2360" customFormat="1">
      <c r="B69" s="2388"/>
      <c r="C69" s="2388"/>
      <c r="D69" s="2388"/>
      <c r="E69" s="2388"/>
      <c r="F69" s="2388"/>
      <c r="G69" s="2389"/>
      <c r="H69" s="2388"/>
      <c r="I69" s="2389"/>
      <c r="J69" s="2388"/>
      <c r="K69" s="2388"/>
      <c r="L69" s="2389"/>
      <c r="M69" s="2388"/>
      <c r="N69" s="2388"/>
      <c r="O69" s="2389"/>
      <c r="P69" s="2388"/>
      <c r="Q69" s="2388"/>
      <c r="R69" s="2390"/>
    </row>
    <row r="70" spans="2:18" s="2360" customFormat="1">
      <c r="B70" s="2388"/>
      <c r="C70" s="2388"/>
      <c r="D70" s="2388"/>
      <c r="E70" s="2388"/>
      <c r="F70" s="2388"/>
      <c r="G70" s="2389"/>
      <c r="H70" s="2388"/>
      <c r="I70" s="2389"/>
      <c r="J70" s="2388"/>
      <c r="K70" s="2388"/>
      <c r="L70" s="2389"/>
      <c r="M70" s="2388"/>
      <c r="N70" s="2388"/>
      <c r="O70" s="2389"/>
      <c r="P70" s="2388"/>
      <c r="Q70" s="2388"/>
      <c r="R70" s="2390"/>
    </row>
    <row r="71" spans="2:18" s="2360" customFormat="1">
      <c r="B71" s="2388"/>
      <c r="C71" s="2388"/>
      <c r="D71" s="2388"/>
      <c r="E71" s="2388"/>
      <c r="F71" s="2388"/>
      <c r="G71" s="2389"/>
      <c r="H71" s="2388"/>
      <c r="I71" s="2389"/>
      <c r="J71" s="2388"/>
      <c r="K71" s="2388"/>
      <c r="L71" s="2389"/>
      <c r="M71" s="2388"/>
      <c r="N71" s="2388"/>
      <c r="O71" s="2389"/>
      <c r="P71" s="2388"/>
      <c r="Q71" s="2388"/>
      <c r="R71" s="2390"/>
    </row>
    <row r="72" spans="2:18" s="2360" customFormat="1">
      <c r="B72" s="2388"/>
      <c r="C72" s="2388"/>
      <c r="D72" s="2388"/>
      <c r="E72" s="2388"/>
      <c r="F72" s="2388"/>
      <c r="G72" s="2389"/>
      <c r="H72" s="2388"/>
      <c r="I72" s="2389"/>
      <c r="J72" s="2388"/>
      <c r="K72" s="2388"/>
      <c r="L72" s="2389"/>
      <c r="M72" s="2388"/>
      <c r="N72" s="2388"/>
      <c r="O72" s="2389"/>
      <c r="P72" s="2388"/>
      <c r="Q72" s="2388"/>
      <c r="R72" s="2390"/>
    </row>
    <row r="73" spans="2:18" s="2360" customFormat="1">
      <c r="B73" s="2388"/>
      <c r="C73" s="2388"/>
      <c r="D73" s="2388"/>
      <c r="E73" s="2388"/>
      <c r="F73" s="2388"/>
      <c r="G73" s="2389"/>
      <c r="H73" s="2388"/>
      <c r="I73" s="2389"/>
      <c r="J73" s="2388"/>
      <c r="K73" s="2388"/>
      <c r="L73" s="2389"/>
      <c r="M73" s="2388"/>
      <c r="N73" s="2388"/>
      <c r="O73" s="2389"/>
      <c r="P73" s="2388"/>
      <c r="Q73" s="2388"/>
      <c r="R73" s="2390"/>
    </row>
    <row r="74" spans="2:18" s="2360" customFormat="1">
      <c r="B74" s="2388"/>
      <c r="C74" s="2388"/>
      <c r="D74" s="2388"/>
      <c r="E74" s="2388"/>
      <c r="F74" s="2388"/>
      <c r="G74" s="2389"/>
      <c r="H74" s="2388"/>
      <c r="I74" s="2389"/>
      <c r="J74" s="2388"/>
      <c r="K74" s="2388"/>
      <c r="L74" s="2389"/>
      <c r="M74" s="2388"/>
      <c r="N74" s="2388"/>
      <c r="O74" s="2389"/>
      <c r="P74" s="2388"/>
      <c r="Q74" s="2388"/>
      <c r="R74" s="2390"/>
    </row>
    <row r="75" spans="2:18" s="2360" customFormat="1">
      <c r="B75" s="2388"/>
      <c r="C75" s="2388"/>
      <c r="D75" s="2388"/>
      <c r="E75" s="2388"/>
      <c r="F75" s="2388"/>
      <c r="G75" s="2389"/>
      <c r="H75" s="2388"/>
      <c r="I75" s="2389"/>
      <c r="J75" s="2388"/>
      <c r="K75" s="2388"/>
      <c r="L75" s="2389"/>
      <c r="M75" s="2388"/>
      <c r="N75" s="2388"/>
      <c r="O75" s="2389"/>
      <c r="P75" s="2388"/>
      <c r="Q75" s="2388"/>
      <c r="R75" s="2390"/>
    </row>
    <row r="76" spans="2:18" s="2360" customFormat="1">
      <c r="B76" s="2388"/>
      <c r="C76" s="2388"/>
      <c r="D76" s="2388"/>
      <c r="E76" s="2388"/>
      <c r="F76" s="2388"/>
      <c r="G76" s="2389"/>
      <c r="H76" s="2388"/>
      <c r="I76" s="2389"/>
      <c r="J76" s="2388"/>
      <c r="K76" s="2388"/>
      <c r="L76" s="2389"/>
      <c r="M76" s="2388"/>
      <c r="N76" s="2388"/>
      <c r="O76" s="2389"/>
      <c r="P76" s="2388"/>
      <c r="Q76" s="2388"/>
      <c r="R76" s="2390"/>
    </row>
    <row r="77" spans="2:18" s="2360" customFormat="1">
      <c r="B77" s="2388"/>
      <c r="C77" s="2388"/>
      <c r="D77" s="2388"/>
      <c r="E77" s="2388"/>
      <c r="F77" s="2388"/>
      <c r="G77" s="2389"/>
      <c r="H77" s="2388"/>
      <c r="I77" s="2389"/>
      <c r="J77" s="2388"/>
      <c r="K77" s="2388"/>
      <c r="L77" s="2389"/>
      <c r="M77" s="2388"/>
      <c r="N77" s="2388"/>
      <c r="O77" s="2389"/>
      <c r="P77" s="2388"/>
      <c r="Q77" s="2388"/>
      <c r="R77" s="2390"/>
    </row>
    <row r="78" spans="2:18" s="2360" customFormat="1">
      <c r="B78" s="2388"/>
      <c r="C78" s="2388"/>
      <c r="D78" s="2388"/>
      <c r="E78" s="2388"/>
      <c r="F78" s="2388"/>
      <c r="G78" s="2389"/>
      <c r="H78" s="2388"/>
      <c r="I78" s="2389"/>
      <c r="J78" s="2388"/>
      <c r="K78" s="2388"/>
      <c r="L78" s="2389"/>
      <c r="M78" s="2388"/>
      <c r="N78" s="2388"/>
      <c r="O78" s="2389"/>
      <c r="P78" s="2388"/>
      <c r="Q78" s="2388"/>
      <c r="R78" s="2390"/>
    </row>
    <row r="79" spans="2:18" s="2360" customFormat="1">
      <c r="B79" s="2388"/>
      <c r="C79" s="2388"/>
      <c r="D79" s="2388"/>
      <c r="E79" s="2388"/>
      <c r="F79" s="2388"/>
      <c r="G79" s="2389"/>
      <c r="H79" s="2388"/>
      <c r="I79" s="2389"/>
      <c r="J79" s="2388"/>
      <c r="K79" s="2388"/>
      <c r="L79" s="2389"/>
      <c r="M79" s="2388"/>
      <c r="N79" s="2388"/>
      <c r="O79" s="2389"/>
      <c r="P79" s="2388"/>
      <c r="Q79" s="2388"/>
      <c r="R79" s="2390"/>
    </row>
    <row r="80" spans="2:18" s="2360" customFormat="1">
      <c r="B80" s="2388"/>
      <c r="C80" s="2388"/>
      <c r="D80" s="2388"/>
      <c r="E80" s="2388"/>
      <c r="F80" s="2388"/>
      <c r="G80" s="2389"/>
      <c r="H80" s="2388"/>
      <c r="I80" s="2389"/>
      <c r="J80" s="2388"/>
      <c r="K80" s="2388"/>
      <c r="L80" s="2389"/>
      <c r="M80" s="2388"/>
      <c r="N80" s="2388"/>
      <c r="O80" s="2389"/>
      <c r="P80" s="2388"/>
      <c r="Q80" s="2388"/>
      <c r="R80" s="2390"/>
    </row>
    <row r="81" spans="2:18" s="2360" customFormat="1">
      <c r="B81" s="2388"/>
      <c r="C81" s="2388"/>
      <c r="D81" s="2388"/>
      <c r="E81" s="2388"/>
      <c r="F81" s="2388"/>
      <c r="G81" s="2389"/>
      <c r="H81" s="2388"/>
      <c r="I81" s="2389"/>
      <c r="J81" s="2388"/>
      <c r="K81" s="2388"/>
      <c r="L81" s="2389"/>
      <c r="M81" s="2388"/>
      <c r="N81" s="2388"/>
      <c r="O81" s="2389"/>
      <c r="P81" s="2388"/>
      <c r="Q81" s="2388"/>
      <c r="R81" s="2390"/>
    </row>
    <row r="82" spans="2:18" s="2360" customFormat="1">
      <c r="B82" s="2388"/>
      <c r="C82" s="2388"/>
      <c r="D82" s="2388"/>
      <c r="E82" s="2388"/>
      <c r="F82" s="2388"/>
      <c r="G82" s="2389"/>
      <c r="H82" s="2388"/>
      <c r="I82" s="2389"/>
      <c r="J82" s="2388"/>
      <c r="K82" s="2388"/>
      <c r="L82" s="2389"/>
      <c r="M82" s="2388"/>
      <c r="N82" s="2388"/>
      <c r="O82" s="2389"/>
      <c r="P82" s="2388"/>
      <c r="Q82" s="2388"/>
      <c r="R82" s="2390"/>
    </row>
    <row r="83" spans="2:18" s="2360" customFormat="1">
      <c r="B83" s="2388"/>
      <c r="C83" s="2388"/>
      <c r="D83" s="2388"/>
      <c r="E83" s="2388"/>
      <c r="F83" s="2388"/>
      <c r="G83" s="2389"/>
      <c r="H83" s="2388"/>
      <c r="I83" s="2389"/>
      <c r="J83" s="2388"/>
      <c r="K83" s="2388"/>
      <c r="L83" s="2389"/>
      <c r="M83" s="2388"/>
      <c r="N83" s="2388"/>
      <c r="O83" s="2389"/>
      <c r="P83" s="2388"/>
      <c r="Q83" s="2388"/>
      <c r="R83" s="2390"/>
    </row>
    <row r="84" spans="2:18" s="2360" customFormat="1">
      <c r="B84" s="2388"/>
      <c r="C84" s="2388"/>
      <c r="D84" s="2388"/>
      <c r="E84" s="2388"/>
      <c r="F84" s="2388"/>
      <c r="G84" s="2389"/>
      <c r="H84" s="2388"/>
      <c r="I84" s="2389"/>
      <c r="J84" s="2388"/>
      <c r="K84" s="2388"/>
      <c r="L84" s="2389"/>
      <c r="M84" s="2388"/>
      <c r="N84" s="2388"/>
      <c r="O84" s="2389"/>
      <c r="P84" s="2388"/>
      <c r="Q84" s="2388"/>
      <c r="R84" s="2390"/>
    </row>
    <row r="85" spans="2:18" s="2360" customFormat="1">
      <c r="B85" s="2388"/>
      <c r="C85" s="2388"/>
      <c r="D85" s="2388"/>
      <c r="E85" s="2388"/>
      <c r="F85" s="2388"/>
      <c r="G85" s="2389"/>
      <c r="H85" s="2388"/>
      <c r="I85" s="2389"/>
      <c r="J85" s="2388"/>
      <c r="K85" s="2388"/>
      <c r="L85" s="2389"/>
      <c r="M85" s="2388"/>
      <c r="N85" s="2388"/>
      <c r="O85" s="2389"/>
      <c r="P85" s="2388"/>
      <c r="Q85" s="2388"/>
      <c r="R85" s="2390"/>
    </row>
    <row r="86" spans="2:18" s="2360" customFormat="1">
      <c r="B86" s="2388"/>
      <c r="C86" s="2388"/>
      <c r="D86" s="2388"/>
      <c r="E86" s="2388"/>
      <c r="F86" s="2388"/>
      <c r="G86" s="2389"/>
      <c r="H86" s="2388"/>
      <c r="I86" s="2389"/>
      <c r="J86" s="2388"/>
      <c r="K86" s="2388"/>
      <c r="L86" s="2389"/>
      <c r="M86" s="2388"/>
      <c r="N86" s="2388"/>
      <c r="O86" s="2389"/>
      <c r="P86" s="2388"/>
      <c r="Q86" s="2388"/>
      <c r="R86" s="2390"/>
    </row>
    <row r="87" spans="2:18" s="2360" customFormat="1">
      <c r="B87" s="2388"/>
      <c r="C87" s="2388"/>
      <c r="D87" s="2388"/>
      <c r="E87" s="2388"/>
      <c r="F87" s="2388"/>
      <c r="G87" s="2389"/>
      <c r="H87" s="2388"/>
      <c r="I87" s="2389"/>
      <c r="J87" s="2388"/>
      <c r="K87" s="2388"/>
      <c r="L87" s="2389"/>
      <c r="M87" s="2388"/>
      <c r="N87" s="2388"/>
      <c r="O87" s="2389"/>
      <c r="P87" s="2388"/>
      <c r="Q87" s="2388"/>
      <c r="R87" s="2390"/>
    </row>
    <row r="88" spans="2:18" s="2360" customFormat="1">
      <c r="B88" s="2388"/>
      <c r="C88" s="2388"/>
      <c r="D88" s="2388"/>
      <c r="E88" s="2388"/>
      <c r="F88" s="2388"/>
      <c r="G88" s="2389"/>
      <c r="H88" s="2388"/>
      <c r="I88" s="2389"/>
      <c r="J88" s="2388"/>
      <c r="K88" s="2388"/>
      <c r="L88" s="2389"/>
      <c r="M88" s="2388"/>
      <c r="N88" s="2388"/>
      <c r="O88" s="2389"/>
      <c r="P88" s="2388"/>
      <c r="Q88" s="2388"/>
      <c r="R88" s="2390"/>
    </row>
    <row r="89" spans="2:18" s="2360" customFormat="1">
      <c r="B89" s="2388"/>
      <c r="C89" s="2388"/>
      <c r="D89" s="2388"/>
      <c r="E89" s="2388"/>
      <c r="F89" s="2388"/>
      <c r="G89" s="2389"/>
      <c r="H89" s="2388"/>
      <c r="I89" s="2389"/>
      <c r="J89" s="2388"/>
      <c r="K89" s="2388"/>
      <c r="L89" s="2389"/>
      <c r="M89" s="2388"/>
      <c r="N89" s="2388"/>
      <c r="O89" s="2389"/>
      <c r="P89" s="2388"/>
      <c r="Q89" s="2388"/>
      <c r="R89" s="2390"/>
    </row>
    <row r="90" spans="2:18" s="2360" customFormat="1">
      <c r="B90" s="2388"/>
      <c r="C90" s="2388"/>
      <c r="D90" s="2388"/>
      <c r="E90" s="2388"/>
      <c r="F90" s="2388"/>
      <c r="G90" s="2389"/>
      <c r="H90" s="2388"/>
      <c r="I90" s="2389"/>
      <c r="J90" s="2388"/>
      <c r="K90" s="2388"/>
      <c r="L90" s="2389"/>
      <c r="M90" s="2388"/>
      <c r="N90" s="2388"/>
      <c r="O90" s="2389"/>
      <c r="P90" s="2388"/>
      <c r="Q90" s="2388"/>
      <c r="R90" s="2390"/>
    </row>
    <row r="91" spans="2:18" s="2360" customFormat="1">
      <c r="B91" s="2388"/>
      <c r="C91" s="2388"/>
      <c r="D91" s="2388"/>
      <c r="E91" s="2388"/>
      <c r="F91" s="2388"/>
      <c r="G91" s="2389"/>
      <c r="H91" s="2388"/>
      <c r="I91" s="2389"/>
      <c r="J91" s="2388"/>
      <c r="K91" s="2388"/>
      <c r="L91" s="2389"/>
      <c r="M91" s="2388"/>
      <c r="N91" s="2388"/>
      <c r="O91" s="2389"/>
      <c r="P91" s="2388"/>
      <c r="Q91" s="2388"/>
      <c r="R91" s="2390"/>
    </row>
    <row r="92" spans="2:18" s="2360" customFormat="1">
      <c r="B92" s="2388"/>
      <c r="C92" s="2388"/>
      <c r="D92" s="2388"/>
      <c r="E92" s="2388"/>
      <c r="F92" s="2388"/>
      <c r="G92" s="2389"/>
      <c r="H92" s="2388"/>
      <c r="I92" s="2389"/>
      <c r="J92" s="2388"/>
      <c r="K92" s="2388"/>
      <c r="L92" s="2389"/>
      <c r="M92" s="2388"/>
      <c r="N92" s="2388"/>
      <c r="O92" s="2389"/>
      <c r="P92" s="2388"/>
      <c r="Q92" s="2388"/>
      <c r="R92" s="2390"/>
    </row>
    <row r="93" spans="2:18" s="2360" customFormat="1">
      <c r="B93" s="2388"/>
      <c r="C93" s="2388"/>
      <c r="D93" s="2388"/>
      <c r="E93" s="2388"/>
      <c r="F93" s="2388"/>
      <c r="G93" s="2389"/>
      <c r="H93" s="2388"/>
      <c r="I93" s="2389"/>
      <c r="J93" s="2388"/>
      <c r="K93" s="2388"/>
      <c r="L93" s="2389"/>
      <c r="M93" s="2388"/>
      <c r="N93" s="2388"/>
      <c r="O93" s="2389"/>
      <c r="P93" s="2388"/>
      <c r="Q93" s="2388"/>
      <c r="R93" s="2390"/>
    </row>
    <row r="94" spans="2:18" s="2360" customFormat="1">
      <c r="B94" s="2388"/>
      <c r="C94" s="2388"/>
      <c r="D94" s="2388"/>
      <c r="E94" s="2388"/>
      <c r="F94" s="2388"/>
      <c r="G94" s="2389"/>
      <c r="H94" s="2388"/>
      <c r="I94" s="2389"/>
      <c r="J94" s="2388"/>
      <c r="K94" s="2388"/>
      <c r="L94" s="2389"/>
      <c r="M94" s="2388"/>
      <c r="N94" s="2388"/>
      <c r="O94" s="2389"/>
      <c r="P94" s="2388"/>
      <c r="Q94" s="2388"/>
      <c r="R94" s="2390"/>
    </row>
    <row r="95" spans="2:18" s="2360" customFormat="1">
      <c r="B95" s="2388"/>
      <c r="C95" s="2388"/>
      <c r="D95" s="2388"/>
      <c r="E95" s="2388"/>
      <c r="F95" s="2388"/>
      <c r="G95" s="2389"/>
      <c r="H95" s="2388"/>
      <c r="I95" s="2389"/>
      <c r="J95" s="2388"/>
      <c r="K95" s="2388"/>
      <c r="L95" s="2389"/>
      <c r="M95" s="2388"/>
      <c r="N95" s="2388"/>
      <c r="O95" s="2389"/>
      <c r="P95" s="2388"/>
      <c r="Q95" s="2388"/>
      <c r="R95" s="2390"/>
    </row>
    <row r="96" spans="2:18" s="2360" customFormat="1">
      <c r="B96" s="2388"/>
      <c r="C96" s="2388"/>
      <c r="D96" s="2388"/>
      <c r="E96" s="2388"/>
      <c r="F96" s="2388"/>
      <c r="G96" s="2389"/>
      <c r="H96" s="2388"/>
      <c r="I96" s="2389"/>
      <c r="J96" s="2388"/>
      <c r="K96" s="2388"/>
      <c r="L96" s="2389"/>
      <c r="M96" s="2388"/>
      <c r="N96" s="2388"/>
      <c r="O96" s="2389"/>
      <c r="P96" s="2388"/>
      <c r="Q96" s="2388"/>
      <c r="R96" s="2390"/>
    </row>
    <row r="97" spans="2:18" s="2360" customFormat="1">
      <c r="B97" s="2388"/>
      <c r="C97" s="2388"/>
      <c r="D97" s="2388"/>
      <c r="E97" s="2388"/>
      <c r="F97" s="2388"/>
      <c r="G97" s="2389"/>
      <c r="H97" s="2388"/>
      <c r="I97" s="2389"/>
      <c r="J97" s="2388"/>
      <c r="K97" s="2388"/>
      <c r="L97" s="2389"/>
      <c r="M97" s="2388"/>
      <c r="N97" s="2388"/>
      <c r="O97" s="2389"/>
      <c r="P97" s="2388"/>
      <c r="Q97" s="2388"/>
      <c r="R97" s="2390"/>
    </row>
    <row r="98" spans="2:18" s="2360" customFormat="1">
      <c r="B98" s="2388"/>
      <c r="C98" s="2388"/>
      <c r="D98" s="2388"/>
      <c r="E98" s="2388"/>
      <c r="F98" s="2388"/>
      <c r="G98" s="2389"/>
      <c r="H98" s="2388"/>
      <c r="I98" s="2389"/>
      <c r="J98" s="2388"/>
      <c r="K98" s="2388"/>
      <c r="L98" s="2389"/>
      <c r="M98" s="2388"/>
      <c r="N98" s="2388"/>
      <c r="O98" s="2389"/>
      <c r="P98" s="2388"/>
      <c r="Q98" s="2388"/>
      <c r="R98" s="2390"/>
    </row>
    <row r="99" spans="2:18" s="2360" customFormat="1">
      <c r="B99" s="2388"/>
      <c r="C99" s="2388"/>
      <c r="D99" s="2388"/>
      <c r="E99" s="2388"/>
      <c r="F99" s="2388"/>
      <c r="G99" s="2389"/>
      <c r="H99" s="2388"/>
      <c r="I99" s="2389"/>
      <c r="J99" s="2388"/>
      <c r="K99" s="2388"/>
      <c r="L99" s="2389"/>
      <c r="M99" s="2388"/>
      <c r="N99" s="2388"/>
      <c r="O99" s="2389"/>
      <c r="P99" s="2388"/>
      <c r="Q99" s="2388"/>
      <c r="R99" s="2390"/>
    </row>
    <row r="100" spans="2:18" s="2360" customFormat="1">
      <c r="B100" s="2388"/>
      <c r="C100" s="2388"/>
      <c r="D100" s="2388"/>
      <c r="E100" s="2388"/>
      <c r="F100" s="2388"/>
      <c r="G100" s="2389"/>
      <c r="H100" s="2388"/>
      <c r="I100" s="2389"/>
      <c r="J100" s="2388"/>
      <c r="K100" s="2388"/>
      <c r="L100" s="2389"/>
      <c r="M100" s="2388"/>
      <c r="N100" s="2388"/>
      <c r="O100" s="2389"/>
      <c r="P100" s="2388"/>
      <c r="Q100" s="2388"/>
      <c r="R100" s="2390"/>
    </row>
    <row r="101" spans="2:18" s="2360" customFormat="1">
      <c r="B101" s="2388"/>
      <c r="C101" s="2388"/>
      <c r="D101" s="2388"/>
      <c r="E101" s="2388"/>
      <c r="F101" s="2388"/>
      <c r="G101" s="2389"/>
      <c r="H101" s="2388"/>
      <c r="I101" s="2389"/>
      <c r="J101" s="2388"/>
      <c r="K101" s="2388"/>
      <c r="L101" s="2389"/>
      <c r="M101" s="2388"/>
      <c r="N101" s="2388"/>
      <c r="O101" s="2389"/>
      <c r="P101" s="2388"/>
      <c r="Q101" s="2388"/>
      <c r="R101" s="2390"/>
    </row>
    <row r="102" spans="2:18" s="2360" customFormat="1">
      <c r="B102" s="2388"/>
      <c r="C102" s="2388"/>
      <c r="D102" s="2388"/>
      <c r="E102" s="2388"/>
      <c r="F102" s="2388"/>
      <c r="G102" s="2389"/>
      <c r="H102" s="2388"/>
      <c r="I102" s="2389"/>
      <c r="J102" s="2388"/>
      <c r="K102" s="2388"/>
      <c r="L102" s="2389"/>
      <c r="M102" s="2388"/>
      <c r="N102" s="2388"/>
      <c r="O102" s="2389"/>
      <c r="P102" s="2388"/>
      <c r="Q102" s="2388"/>
      <c r="R102" s="2390"/>
    </row>
    <row r="103" spans="2:18" s="2360" customFormat="1">
      <c r="B103" s="2388"/>
      <c r="C103" s="2388"/>
      <c r="D103" s="2388"/>
      <c r="E103" s="2388"/>
      <c r="F103" s="2388"/>
      <c r="G103" s="2389"/>
      <c r="H103" s="2388"/>
      <c r="I103" s="2389"/>
      <c r="J103" s="2388"/>
      <c r="K103" s="2388"/>
      <c r="L103" s="2389"/>
      <c r="M103" s="2388"/>
      <c r="N103" s="2388"/>
      <c r="O103" s="2389"/>
      <c r="P103" s="2388"/>
      <c r="Q103" s="2388"/>
      <c r="R103" s="2390"/>
    </row>
    <row r="104" spans="2:18" s="2360" customFormat="1">
      <c r="B104" s="2388"/>
      <c r="C104" s="2388"/>
      <c r="D104" s="2388"/>
      <c r="E104" s="2388"/>
      <c r="F104" s="2388"/>
      <c r="G104" s="2389"/>
      <c r="H104" s="2388"/>
      <c r="I104" s="2389"/>
      <c r="J104" s="2388"/>
      <c r="K104" s="2388"/>
      <c r="L104" s="2389"/>
      <c r="M104" s="2388"/>
      <c r="N104" s="2388"/>
      <c r="O104" s="2389"/>
      <c r="P104" s="2388"/>
      <c r="Q104" s="2388"/>
      <c r="R104" s="2390"/>
    </row>
    <row r="105" spans="2:18" s="2360" customFormat="1">
      <c r="B105" s="2388"/>
      <c r="C105" s="2388"/>
      <c r="D105" s="2388"/>
      <c r="E105" s="2388"/>
      <c r="F105" s="2388"/>
      <c r="G105" s="2389"/>
      <c r="H105" s="2388"/>
      <c r="I105" s="2389"/>
      <c r="J105" s="2388"/>
      <c r="K105" s="2388"/>
      <c r="L105" s="2389"/>
      <c r="M105" s="2388"/>
      <c r="N105" s="2388"/>
      <c r="O105" s="2389"/>
      <c r="P105" s="2388"/>
      <c r="Q105" s="2388"/>
      <c r="R105" s="2390"/>
    </row>
    <row r="106" spans="2:18" s="2360" customFormat="1">
      <c r="B106" s="2388"/>
      <c r="C106" s="2388"/>
      <c r="D106" s="2388"/>
      <c r="E106" s="2388"/>
      <c r="F106" s="2388"/>
      <c r="G106" s="2389"/>
      <c r="H106" s="2388"/>
      <c r="I106" s="2389"/>
      <c r="J106" s="2388"/>
      <c r="K106" s="2388"/>
      <c r="L106" s="2389"/>
      <c r="M106" s="2388"/>
      <c r="N106" s="2388"/>
      <c r="O106" s="2389"/>
      <c r="P106" s="2388"/>
      <c r="Q106" s="2388"/>
      <c r="R106" s="2390"/>
    </row>
    <row r="107" spans="2:18" s="2360" customFormat="1">
      <c r="B107" s="2388"/>
      <c r="C107" s="2388"/>
      <c r="D107" s="2388"/>
      <c r="E107" s="2388"/>
      <c r="F107" s="2388"/>
      <c r="G107" s="2389"/>
      <c r="H107" s="2388"/>
      <c r="I107" s="2389"/>
      <c r="J107" s="2388"/>
      <c r="K107" s="2388"/>
      <c r="L107" s="2389"/>
      <c r="M107" s="2388"/>
      <c r="N107" s="2388"/>
      <c r="O107" s="2389"/>
      <c r="P107" s="2388"/>
      <c r="Q107" s="2388"/>
      <c r="R107" s="2390"/>
    </row>
    <row r="108" spans="2:18" s="2360" customFormat="1">
      <c r="B108" s="2388"/>
      <c r="C108" s="2388"/>
      <c r="D108" s="2388"/>
      <c r="E108" s="2388"/>
      <c r="F108" s="2388"/>
      <c r="G108" s="2389"/>
      <c r="H108" s="2388"/>
      <c r="I108" s="2389"/>
      <c r="J108" s="2388"/>
      <c r="K108" s="2388"/>
      <c r="L108" s="2389"/>
      <c r="M108" s="2388"/>
      <c r="N108" s="2388"/>
      <c r="O108" s="2389"/>
      <c r="P108" s="2388"/>
      <c r="Q108" s="2388"/>
      <c r="R108" s="2390"/>
    </row>
    <row r="109" spans="2:18" s="2360" customFormat="1">
      <c r="B109" s="2388"/>
      <c r="C109" s="2388"/>
      <c r="D109" s="2388"/>
      <c r="E109" s="2388"/>
      <c r="F109" s="2388"/>
      <c r="G109" s="2389"/>
      <c r="H109" s="2388"/>
      <c r="I109" s="2389"/>
      <c r="J109" s="2388"/>
      <c r="K109" s="2388"/>
      <c r="L109" s="2389"/>
      <c r="M109" s="2388"/>
      <c r="N109" s="2388"/>
      <c r="O109" s="2389"/>
      <c r="P109" s="2388"/>
      <c r="Q109" s="2388"/>
      <c r="R109" s="2390"/>
    </row>
    <row r="110" spans="2:18" s="2360" customFormat="1">
      <c r="B110" s="2388"/>
      <c r="C110" s="2388"/>
      <c r="D110" s="2388"/>
      <c r="E110" s="2388"/>
      <c r="F110" s="2388"/>
      <c r="G110" s="2389"/>
      <c r="H110" s="2388"/>
      <c r="I110" s="2389"/>
      <c r="J110" s="2388"/>
      <c r="K110" s="2388"/>
      <c r="L110" s="2389"/>
      <c r="M110" s="2388"/>
      <c r="N110" s="2388"/>
      <c r="O110" s="2389"/>
      <c r="P110" s="2388"/>
      <c r="Q110" s="2388"/>
      <c r="R110" s="2390"/>
    </row>
    <row r="111" spans="2:18" s="2360" customFormat="1">
      <c r="B111" s="2388"/>
      <c r="C111" s="2388"/>
      <c r="D111" s="2388"/>
      <c r="E111" s="2388"/>
      <c r="F111" s="2388"/>
      <c r="G111" s="2389"/>
      <c r="H111" s="2388"/>
      <c r="I111" s="2389"/>
      <c r="J111" s="2388"/>
      <c r="K111" s="2388"/>
      <c r="L111" s="2389"/>
      <c r="M111" s="2388"/>
      <c r="N111" s="2388"/>
      <c r="O111" s="2389"/>
      <c r="P111" s="2388"/>
      <c r="Q111" s="2388"/>
      <c r="R111" s="2390"/>
    </row>
    <row r="112" spans="2:18" s="2360" customFormat="1">
      <c r="B112" s="2388"/>
      <c r="C112" s="2388"/>
      <c r="D112" s="2388"/>
      <c r="E112" s="2388"/>
      <c r="F112" s="2388"/>
      <c r="G112" s="2389"/>
      <c r="H112" s="2388"/>
      <c r="I112" s="2389"/>
      <c r="J112" s="2388"/>
      <c r="K112" s="2388"/>
      <c r="L112" s="2389"/>
      <c r="M112" s="2388"/>
      <c r="N112" s="2388"/>
      <c r="O112" s="2389"/>
      <c r="P112" s="2388"/>
      <c r="Q112" s="2388"/>
      <c r="R112" s="2390"/>
    </row>
    <row r="113" spans="2:18" s="2360" customFormat="1">
      <c r="B113" s="2388"/>
      <c r="C113" s="2388"/>
      <c r="D113" s="2388"/>
      <c r="E113" s="2388"/>
      <c r="F113" s="2388"/>
      <c r="G113" s="2389"/>
      <c r="H113" s="2388"/>
      <c r="I113" s="2389"/>
      <c r="J113" s="2388"/>
      <c r="K113" s="2388"/>
      <c r="L113" s="2389"/>
      <c r="M113" s="2388"/>
      <c r="N113" s="2388"/>
      <c r="O113" s="2389"/>
      <c r="P113" s="2388"/>
      <c r="Q113" s="2388"/>
      <c r="R113" s="2390"/>
    </row>
    <row r="114" spans="2:18" s="2360" customFormat="1">
      <c r="B114" s="2388"/>
      <c r="C114" s="2388"/>
      <c r="D114" s="2388"/>
      <c r="E114" s="2388"/>
      <c r="F114" s="2388"/>
      <c r="G114" s="2389"/>
      <c r="H114" s="2388"/>
      <c r="I114" s="2389"/>
      <c r="J114" s="2388"/>
      <c r="K114" s="2388"/>
      <c r="L114" s="2389"/>
      <c r="M114" s="2388"/>
      <c r="N114" s="2388"/>
      <c r="O114" s="2389"/>
      <c r="P114" s="2388"/>
      <c r="Q114" s="2388"/>
      <c r="R114" s="2390"/>
    </row>
    <row r="115" spans="2:18" s="2360" customFormat="1">
      <c r="B115" s="2388"/>
      <c r="C115" s="2388"/>
      <c r="D115" s="2388"/>
      <c r="E115" s="2388"/>
      <c r="F115" s="2388"/>
      <c r="G115" s="2389"/>
      <c r="H115" s="2388"/>
      <c r="I115" s="2389"/>
      <c r="J115" s="2388"/>
      <c r="K115" s="2388"/>
      <c r="L115" s="2389"/>
      <c r="M115" s="2388"/>
      <c r="N115" s="2388"/>
      <c r="O115" s="2389"/>
      <c r="P115" s="2388"/>
      <c r="Q115" s="2388"/>
      <c r="R115" s="2390"/>
    </row>
    <row r="116" spans="2:18" s="2360" customFormat="1">
      <c r="B116" s="2388"/>
      <c r="C116" s="2388"/>
      <c r="D116" s="2388"/>
      <c r="E116" s="2388"/>
      <c r="F116" s="2388"/>
      <c r="G116" s="2389"/>
      <c r="H116" s="2388"/>
      <c r="I116" s="2389"/>
      <c r="J116" s="2388"/>
      <c r="K116" s="2388"/>
      <c r="L116" s="2389"/>
      <c r="M116" s="2388"/>
      <c r="N116" s="2388"/>
      <c r="O116" s="2389"/>
      <c r="P116" s="2388"/>
      <c r="Q116" s="2388"/>
      <c r="R116" s="2390"/>
    </row>
    <row r="117" spans="2:18" s="2360" customFormat="1">
      <c r="B117" s="2388"/>
      <c r="C117" s="2388"/>
      <c r="D117" s="2388"/>
      <c r="E117" s="2388"/>
      <c r="F117" s="2388"/>
      <c r="G117" s="2389"/>
      <c r="H117" s="2388"/>
      <c r="I117" s="2389"/>
      <c r="J117" s="2388"/>
      <c r="K117" s="2388"/>
      <c r="L117" s="2389"/>
      <c r="M117" s="2388"/>
      <c r="N117" s="2388"/>
      <c r="O117" s="2389"/>
      <c r="P117" s="2388"/>
      <c r="Q117" s="2388"/>
      <c r="R117" s="2390"/>
    </row>
    <row r="118" spans="2:18" s="2360" customFormat="1">
      <c r="B118" s="2388"/>
      <c r="C118" s="2388"/>
      <c r="D118" s="2388"/>
      <c r="E118" s="2388"/>
      <c r="F118" s="2388"/>
      <c r="G118" s="2389"/>
      <c r="H118" s="2388"/>
      <c r="I118" s="2389"/>
      <c r="J118" s="2388"/>
      <c r="K118" s="2388"/>
      <c r="L118" s="2389"/>
      <c r="M118" s="2388"/>
      <c r="N118" s="2388"/>
      <c r="O118" s="2389"/>
      <c r="P118" s="2388"/>
      <c r="Q118" s="2388"/>
      <c r="R118" s="2390"/>
    </row>
    <row r="119" spans="2:18" s="2360" customFormat="1">
      <c r="B119" s="2388"/>
      <c r="C119" s="2388"/>
      <c r="D119" s="2388"/>
      <c r="E119" s="2388"/>
      <c r="F119" s="2388"/>
      <c r="G119" s="2389"/>
      <c r="H119" s="2388"/>
      <c r="I119" s="2389"/>
      <c r="J119" s="2388"/>
      <c r="K119" s="2388"/>
      <c r="L119" s="2389"/>
      <c r="M119" s="2388"/>
      <c r="N119" s="2388"/>
      <c r="O119" s="2389"/>
      <c r="P119" s="2388"/>
      <c r="Q119" s="2388"/>
      <c r="R119" s="2390"/>
    </row>
    <row r="120" spans="2:18" s="2360" customFormat="1">
      <c r="B120" s="2388"/>
      <c r="C120" s="2388"/>
      <c r="D120" s="2388"/>
      <c r="E120" s="2388"/>
      <c r="F120" s="2388"/>
      <c r="G120" s="2389"/>
      <c r="H120" s="2388"/>
      <c r="I120" s="2389"/>
      <c r="J120" s="2388"/>
      <c r="K120" s="2388"/>
      <c r="L120" s="2389"/>
      <c r="M120" s="2388"/>
      <c r="N120" s="2388"/>
      <c r="O120" s="2389"/>
      <c r="P120" s="2388"/>
      <c r="Q120" s="2388"/>
      <c r="R120" s="2390"/>
    </row>
    <row r="121" spans="2:18" s="2360" customFormat="1">
      <c r="B121" s="2388"/>
      <c r="C121" s="2388"/>
      <c r="D121" s="2388"/>
      <c r="E121" s="2388"/>
      <c r="F121" s="2388"/>
      <c r="G121" s="2389"/>
      <c r="H121" s="2388"/>
      <c r="I121" s="2389"/>
      <c r="J121" s="2388"/>
      <c r="K121" s="2388"/>
      <c r="L121" s="2389"/>
      <c r="M121" s="2388"/>
      <c r="N121" s="2388"/>
      <c r="O121" s="2389"/>
      <c r="P121" s="2388"/>
      <c r="Q121" s="2388"/>
      <c r="R121" s="2390"/>
    </row>
    <row r="122" spans="2:18" s="2360" customFormat="1">
      <c r="B122" s="2388"/>
      <c r="C122" s="2388"/>
      <c r="D122" s="2388"/>
      <c r="E122" s="2388"/>
      <c r="F122" s="2388"/>
      <c r="G122" s="2389"/>
      <c r="H122" s="2388"/>
      <c r="I122" s="2389"/>
      <c r="J122" s="2388"/>
      <c r="K122" s="2388"/>
      <c r="L122" s="2389"/>
      <c r="M122" s="2388"/>
      <c r="N122" s="2388"/>
      <c r="O122" s="2389"/>
      <c r="P122" s="2388"/>
      <c r="Q122" s="2388"/>
      <c r="R122" s="2390"/>
    </row>
    <row r="123" spans="2:18" s="2360" customFormat="1">
      <c r="B123" s="2388"/>
      <c r="C123" s="2388"/>
      <c r="D123" s="2388"/>
      <c r="E123" s="2388"/>
      <c r="F123" s="2388"/>
      <c r="G123" s="2389"/>
      <c r="H123" s="2388"/>
      <c r="I123" s="2389"/>
      <c r="J123" s="2388"/>
      <c r="K123" s="2388"/>
      <c r="L123" s="2389"/>
      <c r="M123" s="2388"/>
      <c r="N123" s="2388"/>
      <c r="O123" s="2389"/>
      <c r="P123" s="2388"/>
      <c r="Q123" s="2388"/>
      <c r="R123" s="2390"/>
    </row>
    <row r="124" spans="2:18" s="2360" customFormat="1">
      <c r="B124" s="2388"/>
      <c r="C124" s="2388"/>
      <c r="D124" s="2388"/>
      <c r="E124" s="2388"/>
      <c r="F124" s="2388"/>
      <c r="G124" s="2389"/>
      <c r="H124" s="2388"/>
      <c r="I124" s="2389"/>
      <c r="J124" s="2388"/>
      <c r="K124" s="2388"/>
      <c r="L124" s="2389"/>
      <c r="M124" s="2388"/>
      <c r="N124" s="2388"/>
      <c r="O124" s="2389"/>
      <c r="P124" s="2388"/>
      <c r="Q124" s="2388"/>
      <c r="R124" s="2390"/>
    </row>
    <row r="125" spans="2:18" s="2360" customFormat="1">
      <c r="B125" s="2388"/>
      <c r="C125" s="2388"/>
      <c r="D125" s="2388"/>
      <c r="E125" s="2388"/>
      <c r="F125" s="2388"/>
      <c r="G125" s="2389"/>
      <c r="H125" s="2388"/>
      <c r="I125" s="2389"/>
      <c r="J125" s="2388"/>
      <c r="K125" s="2388"/>
      <c r="L125" s="2389"/>
      <c r="M125" s="2388"/>
      <c r="N125" s="2388"/>
      <c r="O125" s="2389"/>
      <c r="P125" s="2388"/>
      <c r="Q125" s="2388"/>
      <c r="R125" s="2390"/>
    </row>
    <row r="126" spans="2:18" s="2360" customFormat="1">
      <c r="B126" s="2388"/>
      <c r="C126" s="2388"/>
      <c r="D126" s="2388"/>
      <c r="E126" s="2388"/>
      <c r="F126" s="2388"/>
      <c r="G126" s="2389"/>
      <c r="H126" s="2388"/>
      <c r="I126" s="2389"/>
      <c r="J126" s="2388"/>
      <c r="K126" s="2388"/>
      <c r="L126" s="2389"/>
      <c r="M126" s="2388"/>
      <c r="N126" s="2388"/>
      <c r="O126" s="2389"/>
      <c r="P126" s="2388"/>
      <c r="Q126" s="2388"/>
      <c r="R126" s="2390"/>
    </row>
    <row r="127" spans="2:18" s="2360" customFormat="1">
      <c r="B127" s="2388"/>
      <c r="C127" s="2388"/>
      <c r="D127" s="2388"/>
      <c r="E127" s="2388"/>
      <c r="F127" s="2388"/>
      <c r="G127" s="2389"/>
      <c r="H127" s="2388"/>
      <c r="I127" s="2389"/>
      <c r="J127" s="2388"/>
      <c r="K127" s="2388"/>
      <c r="L127" s="2389"/>
      <c r="M127" s="2388"/>
      <c r="N127" s="2388"/>
      <c r="O127" s="2389"/>
      <c r="P127" s="2388"/>
      <c r="Q127" s="2388"/>
      <c r="R127" s="2390"/>
    </row>
    <row r="128" spans="2:18" s="2360" customFormat="1">
      <c r="B128" s="2388"/>
      <c r="C128" s="2388"/>
      <c r="D128" s="2388"/>
      <c r="E128" s="2388"/>
      <c r="F128" s="2388"/>
      <c r="G128" s="2389"/>
      <c r="H128" s="2388"/>
      <c r="I128" s="2389"/>
      <c r="J128" s="2388"/>
      <c r="K128" s="2388"/>
      <c r="L128" s="2389"/>
      <c r="M128" s="2388"/>
      <c r="N128" s="2388"/>
      <c r="O128" s="2389"/>
      <c r="P128" s="2388"/>
      <c r="Q128" s="2388"/>
      <c r="R128" s="2390"/>
    </row>
    <row r="129" spans="2:18" s="2360" customFormat="1">
      <c r="B129" s="2388"/>
      <c r="C129" s="2388"/>
      <c r="D129" s="2388"/>
      <c r="E129" s="2388"/>
      <c r="F129" s="2388"/>
      <c r="G129" s="2389"/>
      <c r="H129" s="2388"/>
      <c r="I129" s="2389"/>
      <c r="J129" s="2388"/>
      <c r="K129" s="2388"/>
      <c r="L129" s="2389"/>
      <c r="M129" s="2388"/>
      <c r="N129" s="2388"/>
      <c r="O129" s="2389"/>
      <c r="P129" s="2388"/>
      <c r="Q129" s="2388"/>
      <c r="R129" s="2390"/>
    </row>
    <row r="130" spans="2:18" s="2360" customFormat="1">
      <c r="B130" s="2388"/>
      <c r="C130" s="2388"/>
      <c r="D130" s="2388"/>
      <c r="E130" s="2388"/>
      <c r="F130" s="2388"/>
      <c r="G130" s="2389"/>
      <c r="H130" s="2388"/>
      <c r="I130" s="2389"/>
      <c r="J130" s="2388"/>
      <c r="K130" s="2388"/>
      <c r="L130" s="2389"/>
      <c r="M130" s="2388"/>
      <c r="N130" s="2388"/>
      <c r="O130" s="2389"/>
      <c r="P130" s="2388"/>
      <c r="Q130" s="2388"/>
      <c r="R130" s="2390"/>
    </row>
    <row r="131" spans="2:18" s="2360" customFormat="1">
      <c r="B131" s="2388"/>
      <c r="C131" s="2388"/>
      <c r="D131" s="2388"/>
      <c r="E131" s="2388"/>
      <c r="F131" s="2388"/>
      <c r="G131" s="2389"/>
      <c r="H131" s="2388"/>
      <c r="I131" s="2389"/>
      <c r="J131" s="2388"/>
      <c r="K131" s="2388"/>
      <c r="L131" s="2389"/>
      <c r="M131" s="2388"/>
      <c r="N131" s="2388"/>
      <c r="O131" s="2389"/>
      <c r="P131" s="2388"/>
      <c r="Q131" s="2388"/>
      <c r="R131" s="2390"/>
    </row>
    <row r="132" spans="2:18" s="2360" customFormat="1">
      <c r="B132" s="2388"/>
      <c r="C132" s="2388"/>
      <c r="D132" s="2388"/>
      <c r="E132" s="2388"/>
      <c r="F132" s="2388"/>
      <c r="G132" s="2389"/>
      <c r="H132" s="2388"/>
      <c r="I132" s="2389"/>
      <c r="J132" s="2388"/>
      <c r="K132" s="2388"/>
      <c r="L132" s="2389"/>
      <c r="M132" s="2388"/>
      <c r="N132" s="2388"/>
      <c r="O132" s="2389"/>
      <c r="P132" s="2388"/>
      <c r="Q132" s="2388"/>
      <c r="R132" s="2390"/>
    </row>
    <row r="133" spans="2:18" s="2360" customFormat="1">
      <c r="B133" s="2388"/>
      <c r="C133" s="2388"/>
      <c r="D133" s="2388"/>
      <c r="E133" s="2388"/>
      <c r="F133" s="2388"/>
      <c r="G133" s="2389"/>
      <c r="H133" s="2388"/>
      <c r="I133" s="2389"/>
      <c r="J133" s="2388"/>
      <c r="K133" s="2388"/>
      <c r="L133" s="2389"/>
      <c r="M133" s="2388"/>
      <c r="N133" s="2388"/>
      <c r="O133" s="2389"/>
      <c r="P133" s="2388"/>
      <c r="Q133" s="2388"/>
      <c r="R133" s="2390"/>
    </row>
    <row r="134" spans="2:18" s="2360" customFormat="1">
      <c r="B134" s="2388"/>
      <c r="C134" s="2388"/>
      <c r="D134" s="2388"/>
      <c r="E134" s="2388"/>
      <c r="F134" s="2388"/>
      <c r="G134" s="2389"/>
      <c r="H134" s="2388"/>
      <c r="I134" s="2389"/>
      <c r="J134" s="2388"/>
      <c r="K134" s="2388"/>
      <c r="L134" s="2389"/>
      <c r="M134" s="2388"/>
      <c r="N134" s="2388"/>
      <c r="O134" s="2389"/>
      <c r="P134" s="2388"/>
      <c r="Q134" s="2388"/>
      <c r="R134" s="2390"/>
    </row>
    <row r="135" spans="2:18" s="2360" customFormat="1">
      <c r="B135" s="2388"/>
      <c r="C135" s="2388"/>
      <c r="D135" s="2388"/>
      <c r="E135" s="2388"/>
      <c r="F135" s="2388"/>
      <c r="G135" s="2389"/>
      <c r="H135" s="2388"/>
      <c r="I135" s="2389"/>
      <c r="J135" s="2388"/>
      <c r="K135" s="2388"/>
      <c r="L135" s="2389"/>
      <c r="M135" s="2388"/>
      <c r="N135" s="2388"/>
      <c r="O135" s="2389"/>
      <c r="P135" s="2388"/>
      <c r="Q135" s="2388"/>
      <c r="R135" s="2390"/>
    </row>
    <row r="136" spans="2:18" s="2360" customFormat="1">
      <c r="B136" s="2388"/>
      <c r="C136" s="2388"/>
      <c r="D136" s="2388"/>
      <c r="E136" s="2388"/>
      <c r="F136" s="2388"/>
      <c r="G136" s="2389"/>
      <c r="H136" s="2388"/>
      <c r="I136" s="2389"/>
      <c r="J136" s="2388"/>
      <c r="K136" s="2388"/>
      <c r="L136" s="2389"/>
      <c r="M136" s="2388"/>
      <c r="N136" s="2388"/>
      <c r="O136" s="2389"/>
      <c r="P136" s="2388"/>
      <c r="Q136" s="2388"/>
      <c r="R136" s="2390"/>
    </row>
    <row r="137" spans="2:18" s="2360" customFormat="1">
      <c r="B137" s="2388"/>
      <c r="C137" s="2388"/>
      <c r="D137" s="2388"/>
      <c r="E137" s="2388"/>
      <c r="F137" s="2388"/>
      <c r="G137" s="2389"/>
      <c r="H137" s="2388"/>
      <c r="I137" s="2389"/>
      <c r="J137" s="2388"/>
      <c r="K137" s="2388"/>
      <c r="L137" s="2389"/>
      <c r="M137" s="2388"/>
      <c r="N137" s="2388"/>
      <c r="O137" s="2389"/>
      <c r="P137" s="2388"/>
      <c r="Q137" s="2388"/>
      <c r="R137" s="2390"/>
    </row>
    <row r="138" spans="2:18" s="2360" customFormat="1">
      <c r="B138" s="2388"/>
      <c r="C138" s="2388"/>
      <c r="D138" s="2388"/>
      <c r="E138" s="2388"/>
      <c r="F138" s="2388"/>
      <c r="G138" s="2389"/>
      <c r="H138" s="2388"/>
      <c r="I138" s="2389"/>
      <c r="J138" s="2388"/>
      <c r="K138" s="2388"/>
      <c r="L138" s="2389"/>
      <c r="M138" s="2388"/>
      <c r="N138" s="2388"/>
      <c r="O138" s="2389"/>
      <c r="P138" s="2388"/>
      <c r="Q138" s="2388"/>
      <c r="R138" s="2390"/>
    </row>
    <row r="139" spans="2:18" s="2360" customFormat="1">
      <c r="B139" s="2388"/>
      <c r="C139" s="2388"/>
      <c r="D139" s="2388"/>
      <c r="E139" s="2388"/>
      <c r="F139" s="2388"/>
      <c r="G139" s="2389"/>
      <c r="H139" s="2388"/>
      <c r="I139" s="2389"/>
      <c r="J139" s="2388"/>
      <c r="K139" s="2388"/>
      <c r="L139" s="2389"/>
      <c r="M139" s="2388"/>
      <c r="N139" s="2388"/>
      <c r="O139" s="2389"/>
      <c r="P139" s="2388"/>
      <c r="Q139" s="2388"/>
      <c r="R139" s="2390"/>
    </row>
    <row r="140" spans="2:18" s="2360" customFormat="1">
      <c r="B140" s="2388"/>
      <c r="C140" s="2388"/>
      <c r="D140" s="2388"/>
      <c r="E140" s="2388"/>
      <c r="F140" s="2388"/>
      <c r="G140" s="2389"/>
      <c r="H140" s="2388"/>
      <c r="I140" s="2389"/>
      <c r="J140" s="2388"/>
      <c r="K140" s="2388"/>
      <c r="L140" s="2389"/>
      <c r="M140" s="2388"/>
      <c r="N140" s="2388"/>
      <c r="O140" s="2389"/>
      <c r="P140" s="2388"/>
      <c r="Q140" s="2388"/>
      <c r="R140" s="2390"/>
    </row>
    <row r="141" spans="2:18" s="2360" customFormat="1">
      <c r="B141" s="2388"/>
      <c r="C141" s="2388"/>
      <c r="D141" s="2388"/>
      <c r="E141" s="2388"/>
      <c r="F141" s="2388"/>
      <c r="G141" s="2389"/>
      <c r="H141" s="2388"/>
      <c r="I141" s="2389"/>
      <c r="J141" s="2388"/>
      <c r="K141" s="2388"/>
      <c r="L141" s="2389"/>
      <c r="M141" s="2388"/>
      <c r="N141" s="2388"/>
      <c r="O141" s="2389"/>
      <c r="P141" s="2388"/>
      <c r="Q141" s="2388"/>
      <c r="R141" s="2390"/>
    </row>
    <row r="142" spans="2:18" s="2360" customFormat="1">
      <c r="B142" s="2388"/>
      <c r="C142" s="2388"/>
      <c r="D142" s="2388"/>
      <c r="E142" s="2388"/>
      <c r="F142" s="2388"/>
      <c r="G142" s="2389"/>
      <c r="H142" s="2388"/>
      <c r="I142" s="2389"/>
      <c r="J142" s="2388"/>
      <c r="K142" s="2388"/>
      <c r="L142" s="2389"/>
      <c r="M142" s="2388"/>
      <c r="N142" s="2388"/>
      <c r="O142" s="2389"/>
      <c r="P142" s="2388"/>
      <c r="Q142" s="2388"/>
      <c r="R142" s="2390"/>
    </row>
    <row r="143" spans="2:18" s="2360" customFormat="1">
      <c r="B143" s="2388"/>
      <c r="C143" s="2388"/>
      <c r="D143" s="2388"/>
      <c r="E143" s="2388"/>
      <c r="F143" s="2388"/>
      <c r="G143" s="2389"/>
      <c r="H143" s="2388"/>
      <c r="I143" s="2389"/>
      <c r="J143" s="2388"/>
      <c r="K143" s="2388"/>
      <c r="L143" s="2389"/>
      <c r="M143" s="2388"/>
      <c r="N143" s="2388"/>
      <c r="O143" s="2389"/>
      <c r="P143" s="2388"/>
      <c r="Q143" s="2388"/>
      <c r="R143" s="2390"/>
    </row>
    <row r="144" spans="2:18" s="2360" customFormat="1">
      <c r="B144" s="2388"/>
      <c r="C144" s="2388"/>
      <c r="D144" s="2388"/>
      <c r="E144" s="2388"/>
      <c r="F144" s="2388"/>
      <c r="G144" s="2389"/>
      <c r="H144" s="2388"/>
      <c r="I144" s="2389"/>
      <c r="J144" s="2388"/>
      <c r="K144" s="2388"/>
      <c r="L144" s="2389"/>
      <c r="M144" s="2388"/>
      <c r="N144" s="2388"/>
      <c r="O144" s="2389"/>
      <c r="P144" s="2388"/>
      <c r="Q144" s="2388"/>
      <c r="R144" s="2390"/>
    </row>
    <row r="145" spans="2:18" s="2360" customFormat="1">
      <c r="B145" s="2388"/>
      <c r="C145" s="2388"/>
      <c r="D145" s="2388"/>
      <c r="E145" s="2388"/>
      <c r="F145" s="2388"/>
      <c r="G145" s="2389"/>
      <c r="H145" s="2388"/>
      <c r="I145" s="2389"/>
      <c r="J145" s="2388"/>
      <c r="K145" s="2388"/>
      <c r="L145" s="2389"/>
      <c r="M145" s="2388"/>
      <c r="N145" s="2388"/>
      <c r="O145" s="2389"/>
      <c r="P145" s="2388"/>
      <c r="Q145" s="2388"/>
      <c r="R145" s="2390"/>
    </row>
    <row r="146" spans="2:18" s="2360" customFormat="1">
      <c r="B146" s="2388"/>
      <c r="C146" s="2388"/>
      <c r="D146" s="2388"/>
      <c r="E146" s="2388"/>
      <c r="F146" s="2388"/>
      <c r="G146" s="2389"/>
      <c r="H146" s="2388"/>
      <c r="I146" s="2389"/>
      <c r="J146" s="2388"/>
      <c r="K146" s="2388"/>
      <c r="L146" s="2389"/>
      <c r="M146" s="2388"/>
      <c r="N146" s="2388"/>
      <c r="O146" s="2389"/>
      <c r="P146" s="2388"/>
      <c r="Q146" s="2388"/>
      <c r="R146" s="2390"/>
    </row>
    <row r="147" spans="2:18" s="2360" customFormat="1">
      <c r="B147" s="2388"/>
      <c r="C147" s="2388"/>
      <c r="D147" s="2388"/>
      <c r="E147" s="2388"/>
      <c r="F147" s="2388"/>
      <c r="G147" s="2389"/>
      <c r="H147" s="2388"/>
      <c r="I147" s="2389"/>
      <c r="J147" s="2388"/>
      <c r="K147" s="2388"/>
      <c r="L147" s="2389"/>
      <c r="M147" s="2388"/>
      <c r="N147" s="2388"/>
      <c r="O147" s="2389"/>
      <c r="P147" s="2388"/>
      <c r="Q147" s="2388"/>
      <c r="R147" s="2390"/>
    </row>
    <row r="148" spans="2:18" s="2360" customFormat="1">
      <c r="B148" s="2388"/>
      <c r="C148" s="2388"/>
      <c r="D148" s="2388"/>
      <c r="E148" s="2388"/>
      <c r="F148" s="2388"/>
      <c r="G148" s="2389"/>
      <c r="H148" s="2388"/>
      <c r="I148" s="2389"/>
      <c r="J148" s="2388"/>
      <c r="K148" s="2388"/>
      <c r="L148" s="2389"/>
      <c r="M148" s="2388"/>
      <c r="N148" s="2388"/>
      <c r="O148" s="2389"/>
      <c r="P148" s="2388"/>
      <c r="Q148" s="2388"/>
      <c r="R148" s="2390"/>
    </row>
    <row r="149" spans="2:18" s="2360" customFormat="1">
      <c r="B149" s="2388"/>
      <c r="C149" s="2388"/>
      <c r="D149" s="2388"/>
      <c r="E149" s="2388"/>
      <c r="F149" s="2388"/>
      <c r="G149" s="2389"/>
      <c r="H149" s="2388"/>
      <c r="I149" s="2389"/>
      <c r="J149" s="2388"/>
      <c r="K149" s="2388"/>
      <c r="L149" s="2389"/>
      <c r="M149" s="2388"/>
      <c r="N149" s="2388"/>
      <c r="O149" s="2389"/>
      <c r="P149" s="2388"/>
      <c r="Q149" s="2388"/>
      <c r="R149" s="2390"/>
    </row>
    <row r="150" spans="2:18" s="2360" customFormat="1">
      <c r="B150" s="2388"/>
      <c r="C150" s="2388"/>
      <c r="D150" s="2388"/>
      <c r="E150" s="2388"/>
      <c r="F150" s="2388"/>
      <c r="G150" s="2389"/>
      <c r="H150" s="2388"/>
      <c r="I150" s="2389"/>
      <c r="J150" s="2388"/>
      <c r="K150" s="2388"/>
      <c r="L150" s="2389"/>
      <c r="M150" s="2388"/>
      <c r="N150" s="2388"/>
      <c r="O150" s="2389"/>
      <c r="P150" s="2388"/>
      <c r="Q150" s="2388"/>
      <c r="R150" s="2390"/>
    </row>
    <row r="151" spans="2:18" s="2360" customFormat="1">
      <c r="B151" s="2388"/>
      <c r="C151" s="2388"/>
      <c r="D151" s="2388"/>
      <c r="E151" s="2388"/>
      <c r="F151" s="2388"/>
      <c r="G151" s="2389"/>
      <c r="H151" s="2388"/>
      <c r="I151" s="2389"/>
      <c r="J151" s="2388"/>
      <c r="K151" s="2388"/>
      <c r="L151" s="2389"/>
      <c r="M151" s="2388"/>
      <c r="N151" s="2388"/>
      <c r="O151" s="2389"/>
      <c r="P151" s="2388"/>
      <c r="Q151" s="2388"/>
      <c r="R151" s="2390"/>
    </row>
    <row r="152" spans="2:18" s="2360" customFormat="1">
      <c r="B152" s="2388"/>
      <c r="C152" s="2388"/>
      <c r="D152" s="2388"/>
      <c r="E152" s="2388"/>
      <c r="F152" s="2388"/>
      <c r="G152" s="2389"/>
      <c r="H152" s="2388"/>
      <c r="I152" s="2389"/>
      <c r="J152" s="2388"/>
      <c r="K152" s="2388"/>
      <c r="L152" s="2389"/>
      <c r="M152" s="2388"/>
      <c r="N152" s="2388"/>
      <c r="O152" s="2389"/>
      <c r="P152" s="2388"/>
      <c r="Q152" s="2388"/>
      <c r="R152" s="2390"/>
    </row>
    <row r="153" spans="2:18" s="2360" customFormat="1">
      <c r="B153" s="2388"/>
      <c r="C153" s="2388"/>
      <c r="D153" s="2388"/>
      <c r="E153" s="2388"/>
      <c r="F153" s="2388"/>
      <c r="G153" s="2389"/>
      <c r="H153" s="2388"/>
      <c r="I153" s="2389"/>
      <c r="J153" s="2388"/>
      <c r="K153" s="2388"/>
      <c r="L153" s="2389"/>
      <c r="M153" s="2388"/>
      <c r="N153" s="2388"/>
      <c r="O153" s="2389"/>
      <c r="P153" s="2388"/>
      <c r="Q153" s="2388"/>
      <c r="R153" s="2390"/>
    </row>
    <row r="154" spans="2:18" s="2360" customFormat="1">
      <c r="B154" s="2388"/>
      <c r="C154" s="2388"/>
      <c r="D154" s="2388"/>
      <c r="E154" s="2388"/>
      <c r="F154" s="2388"/>
      <c r="G154" s="2389"/>
      <c r="H154" s="2388"/>
      <c r="I154" s="2389"/>
      <c r="J154" s="2388"/>
      <c r="K154" s="2388"/>
      <c r="L154" s="2389"/>
      <c r="M154" s="2388"/>
      <c r="N154" s="2388"/>
      <c r="O154" s="2389"/>
      <c r="P154" s="2388"/>
      <c r="Q154" s="2388"/>
      <c r="R154" s="2390"/>
    </row>
    <row r="155" spans="2:18" s="2360" customFormat="1">
      <c r="B155" s="2388"/>
      <c r="C155" s="2388"/>
      <c r="D155" s="2388"/>
      <c r="E155" s="2388"/>
      <c r="F155" s="2388"/>
      <c r="G155" s="2389"/>
      <c r="H155" s="2388"/>
      <c r="I155" s="2389"/>
      <c r="J155" s="2388"/>
      <c r="K155" s="2388"/>
      <c r="L155" s="2389"/>
      <c r="M155" s="2388"/>
      <c r="N155" s="2388"/>
      <c r="O155" s="2389"/>
      <c r="P155" s="2388"/>
      <c r="Q155" s="2388"/>
      <c r="R155" s="2390"/>
    </row>
    <row r="156" spans="2:18" s="2360" customFormat="1">
      <c r="B156" s="2388"/>
      <c r="C156" s="2388"/>
      <c r="D156" s="2388"/>
      <c r="E156" s="2388"/>
      <c r="F156" s="2388"/>
      <c r="G156" s="2389"/>
      <c r="H156" s="2388"/>
      <c r="I156" s="2389"/>
      <c r="J156" s="2388"/>
      <c r="K156" s="2388"/>
      <c r="L156" s="2389"/>
      <c r="M156" s="2388"/>
      <c r="N156" s="2388"/>
      <c r="O156" s="2389"/>
      <c r="P156" s="2388"/>
      <c r="Q156" s="2388"/>
      <c r="R156" s="2390"/>
    </row>
    <row r="157" spans="2:18" s="2360" customFormat="1">
      <c r="B157" s="2388"/>
      <c r="C157" s="2388"/>
      <c r="D157" s="2388"/>
      <c r="E157" s="2388"/>
      <c r="F157" s="2388"/>
      <c r="G157" s="2389"/>
      <c r="H157" s="2388"/>
      <c r="I157" s="2389"/>
      <c r="J157" s="2388"/>
      <c r="K157" s="2388"/>
      <c r="L157" s="2389"/>
      <c r="M157" s="2388"/>
      <c r="N157" s="2388"/>
      <c r="O157" s="2389"/>
      <c r="P157" s="2388"/>
      <c r="Q157" s="2388"/>
      <c r="R157" s="2390"/>
    </row>
    <row r="158" spans="2:18" s="2360" customFormat="1">
      <c r="B158" s="2388"/>
      <c r="C158" s="2388"/>
      <c r="D158" s="2388"/>
      <c r="E158" s="2388"/>
      <c r="F158" s="2388"/>
      <c r="G158" s="2389"/>
      <c r="H158" s="2388"/>
      <c r="I158" s="2389"/>
      <c r="J158" s="2388"/>
      <c r="K158" s="2388"/>
      <c r="L158" s="2389"/>
      <c r="M158" s="2388"/>
      <c r="N158" s="2388"/>
      <c r="O158" s="2389"/>
      <c r="P158" s="2388"/>
      <c r="Q158" s="2388"/>
      <c r="R158" s="2390"/>
    </row>
    <row r="159" spans="2:18" s="2360" customFormat="1">
      <c r="B159" s="2388"/>
      <c r="C159" s="2388"/>
      <c r="D159" s="2388"/>
      <c r="E159" s="2388"/>
      <c r="F159" s="2388"/>
      <c r="G159" s="2389"/>
      <c r="H159" s="2388"/>
      <c r="I159" s="2389"/>
      <c r="J159" s="2388"/>
      <c r="K159" s="2388"/>
      <c r="L159" s="2389"/>
      <c r="M159" s="2388"/>
      <c r="N159" s="2388"/>
      <c r="O159" s="2389"/>
      <c r="P159" s="2388"/>
      <c r="Q159" s="2388"/>
      <c r="R159" s="2390"/>
    </row>
    <row r="160" spans="2:18" s="2360" customFormat="1">
      <c r="B160" s="2388"/>
      <c r="C160" s="2388"/>
      <c r="D160" s="2388"/>
      <c r="E160" s="2388"/>
      <c r="F160" s="2388"/>
      <c r="G160" s="2389"/>
      <c r="H160" s="2388"/>
      <c r="I160" s="2389"/>
      <c r="J160" s="2388"/>
      <c r="K160" s="2388"/>
      <c r="L160" s="2389"/>
      <c r="M160" s="2388"/>
      <c r="N160" s="2388"/>
      <c r="O160" s="2389"/>
      <c r="P160" s="2388"/>
      <c r="Q160" s="2388"/>
      <c r="R160" s="2390"/>
    </row>
    <row r="161" spans="2:18" s="2360" customFormat="1">
      <c r="B161" s="2388"/>
      <c r="C161" s="2388"/>
      <c r="D161" s="2388"/>
      <c r="E161" s="2388"/>
      <c r="F161" s="2388"/>
      <c r="G161" s="2389"/>
      <c r="H161" s="2388"/>
      <c r="I161" s="2389"/>
      <c r="J161" s="2388"/>
      <c r="K161" s="2388"/>
      <c r="L161" s="2389"/>
      <c r="M161" s="2388"/>
      <c r="N161" s="2388"/>
      <c r="O161" s="2389"/>
      <c r="P161" s="2388"/>
      <c r="Q161" s="2388"/>
      <c r="R161" s="2390"/>
    </row>
    <row r="162" spans="2:18" s="2360" customFormat="1">
      <c r="B162" s="2388"/>
      <c r="C162" s="2388"/>
      <c r="D162" s="2388"/>
      <c r="E162" s="2388"/>
      <c r="F162" s="2388"/>
      <c r="G162" s="2389"/>
      <c r="H162" s="2388"/>
      <c r="I162" s="2389"/>
      <c r="J162" s="2388"/>
      <c r="K162" s="2388"/>
      <c r="L162" s="2389"/>
      <c r="M162" s="2388"/>
      <c r="N162" s="2388"/>
      <c r="O162" s="2389"/>
      <c r="P162" s="2388"/>
      <c r="Q162" s="2388"/>
      <c r="R162" s="2390"/>
    </row>
    <row r="163" spans="2:18" s="2360" customFormat="1">
      <c r="B163" s="2388"/>
      <c r="C163" s="2388"/>
      <c r="D163" s="2388"/>
      <c r="E163" s="2388"/>
      <c r="F163" s="2388"/>
      <c r="G163" s="2389"/>
      <c r="H163" s="2388"/>
      <c r="I163" s="2389"/>
      <c r="J163" s="2388"/>
      <c r="K163" s="2388"/>
      <c r="L163" s="2389"/>
      <c r="M163" s="2388"/>
      <c r="N163" s="2388"/>
      <c r="O163" s="2389"/>
      <c r="P163" s="2388"/>
      <c r="Q163" s="2388"/>
      <c r="R163" s="2390"/>
    </row>
    <row r="164" spans="2:18" s="2360" customFormat="1">
      <c r="B164" s="2388"/>
      <c r="C164" s="2388"/>
      <c r="D164" s="2388"/>
      <c r="E164" s="2388"/>
      <c r="F164" s="2388"/>
      <c r="G164" s="2389"/>
      <c r="H164" s="2388"/>
      <c r="I164" s="2389"/>
      <c r="J164" s="2388"/>
      <c r="K164" s="2388"/>
      <c r="L164" s="2389"/>
      <c r="M164" s="2388"/>
      <c r="N164" s="2388"/>
      <c r="O164" s="2389"/>
      <c r="P164" s="2388"/>
      <c r="Q164" s="2388"/>
      <c r="R164" s="2390"/>
    </row>
    <row r="165" spans="2:18" s="2360" customFormat="1">
      <c r="B165" s="2388"/>
      <c r="C165" s="2388"/>
      <c r="D165" s="2388"/>
      <c r="E165" s="2388"/>
      <c r="F165" s="2388"/>
      <c r="G165" s="2389"/>
      <c r="H165" s="2388"/>
      <c r="I165" s="2389"/>
      <c r="J165" s="2388"/>
      <c r="K165" s="2388"/>
      <c r="L165" s="2389"/>
      <c r="M165" s="2388"/>
      <c r="N165" s="2388"/>
      <c r="O165" s="2389"/>
      <c r="P165" s="2388"/>
      <c r="Q165" s="2388"/>
      <c r="R165" s="2390"/>
    </row>
    <row r="166" spans="2:18" s="2360" customFormat="1">
      <c r="B166" s="2388"/>
      <c r="C166" s="2388"/>
      <c r="D166" s="2388"/>
      <c r="E166" s="2388"/>
      <c r="F166" s="2388"/>
      <c r="G166" s="2389"/>
      <c r="H166" s="2388"/>
      <c r="I166" s="2389"/>
      <c r="J166" s="2388"/>
      <c r="K166" s="2388"/>
      <c r="L166" s="2389"/>
      <c r="M166" s="2388"/>
      <c r="N166" s="2388"/>
      <c r="O166" s="2389"/>
      <c r="P166" s="2388"/>
      <c r="Q166" s="2388"/>
      <c r="R166" s="2390"/>
    </row>
    <row r="167" spans="2:18" s="2360" customFormat="1">
      <c r="B167" s="2388"/>
      <c r="C167" s="2388"/>
      <c r="D167" s="2388"/>
      <c r="E167" s="2388"/>
      <c r="F167" s="2388"/>
      <c r="G167" s="2389"/>
      <c r="H167" s="2388"/>
      <c r="I167" s="2389"/>
      <c r="J167" s="2388"/>
      <c r="K167" s="2388"/>
      <c r="L167" s="2389"/>
      <c r="M167" s="2388"/>
      <c r="N167" s="2388"/>
      <c r="O167" s="2389"/>
      <c r="P167" s="2388"/>
      <c r="Q167" s="2388"/>
      <c r="R167" s="2390"/>
    </row>
    <row r="168" spans="2:18" s="2360" customFormat="1">
      <c r="B168" s="2388"/>
      <c r="C168" s="2388"/>
      <c r="D168" s="2388"/>
      <c r="E168" s="2388"/>
      <c r="F168" s="2388"/>
      <c r="G168" s="2389"/>
      <c r="H168" s="2388"/>
      <c r="I168" s="2389"/>
      <c r="J168" s="2388"/>
      <c r="K168" s="2388"/>
      <c r="L168" s="2389"/>
      <c r="M168" s="2388"/>
      <c r="N168" s="2388"/>
      <c r="O168" s="2389"/>
      <c r="P168" s="2388"/>
      <c r="Q168" s="2388"/>
      <c r="R168" s="2390"/>
    </row>
    <row r="169" spans="2:18" s="2360" customFormat="1">
      <c r="B169" s="2388"/>
      <c r="C169" s="2388"/>
      <c r="D169" s="2388"/>
      <c r="E169" s="2388"/>
      <c r="F169" s="2388"/>
      <c r="G169" s="2389"/>
      <c r="H169" s="2388"/>
      <c r="I169" s="2389"/>
      <c r="J169" s="2388"/>
      <c r="K169" s="2388"/>
      <c r="L169" s="2389"/>
      <c r="M169" s="2388"/>
      <c r="N169" s="2388"/>
      <c r="O169" s="2389"/>
      <c r="P169" s="2388"/>
      <c r="Q169" s="2388"/>
      <c r="R169" s="2390"/>
    </row>
    <row r="170" spans="2:18" s="2360" customFormat="1">
      <c r="B170" s="2388"/>
      <c r="C170" s="2388"/>
      <c r="D170" s="2388"/>
      <c r="E170" s="2388"/>
      <c r="F170" s="2388"/>
      <c r="G170" s="2389"/>
      <c r="H170" s="2388"/>
      <c r="I170" s="2389"/>
      <c r="J170" s="2388"/>
      <c r="K170" s="2388"/>
      <c r="L170" s="2389"/>
      <c r="M170" s="2388"/>
      <c r="N170" s="2388"/>
      <c r="O170" s="2389"/>
      <c r="P170" s="2388"/>
      <c r="Q170" s="2388"/>
      <c r="R170" s="2390"/>
    </row>
    <row r="171" spans="2:18" s="2360" customFormat="1">
      <c r="B171" s="2388"/>
      <c r="C171" s="2388"/>
      <c r="D171" s="2388"/>
      <c r="E171" s="2388"/>
      <c r="F171" s="2388"/>
      <c r="G171" s="2389"/>
      <c r="H171" s="2388"/>
      <c r="I171" s="2389"/>
      <c r="J171" s="2388"/>
      <c r="K171" s="2388"/>
      <c r="L171" s="2389"/>
      <c r="M171" s="2388"/>
      <c r="N171" s="2388"/>
      <c r="O171" s="2389"/>
      <c r="P171" s="2388"/>
      <c r="Q171" s="2388"/>
      <c r="R171" s="2390"/>
    </row>
    <row r="172" spans="2:18" s="2360" customFormat="1">
      <c r="B172" s="2388"/>
      <c r="C172" s="2388"/>
      <c r="D172" s="2388"/>
      <c r="E172" s="2388"/>
      <c r="F172" s="2388"/>
      <c r="G172" s="2389"/>
      <c r="H172" s="2388"/>
      <c r="I172" s="2389"/>
      <c r="J172" s="2388"/>
      <c r="K172" s="2388"/>
      <c r="L172" s="2389"/>
      <c r="M172" s="2388"/>
      <c r="N172" s="2388"/>
      <c r="O172" s="2389"/>
      <c r="P172" s="2388"/>
      <c r="Q172" s="2388"/>
      <c r="R172" s="2390"/>
    </row>
    <row r="173" spans="2:18" s="2360" customFormat="1">
      <c r="B173" s="2388"/>
      <c r="C173" s="2388"/>
      <c r="D173" s="2388"/>
      <c r="E173" s="2388"/>
      <c r="F173" s="2388"/>
      <c r="G173" s="2389"/>
      <c r="H173" s="2388"/>
      <c r="I173" s="2389"/>
      <c r="J173" s="2388"/>
      <c r="K173" s="2388"/>
      <c r="L173" s="2389"/>
      <c r="M173" s="2388"/>
      <c r="N173" s="2388"/>
      <c r="O173" s="2389"/>
      <c r="P173" s="2388"/>
      <c r="Q173" s="2388"/>
      <c r="R173" s="2390"/>
    </row>
    <row r="174" spans="2:18" s="2360" customFormat="1">
      <c r="B174" s="2388"/>
      <c r="C174" s="2388"/>
      <c r="D174" s="2388"/>
      <c r="E174" s="2388"/>
      <c r="F174" s="2388"/>
      <c r="G174" s="2389"/>
      <c r="H174" s="2388"/>
      <c r="I174" s="2389"/>
      <c r="J174" s="2388"/>
      <c r="K174" s="2388"/>
      <c r="L174" s="2389"/>
      <c r="M174" s="2388"/>
      <c r="N174" s="2388"/>
      <c r="O174" s="2389"/>
      <c r="P174" s="2388"/>
      <c r="Q174" s="2388"/>
      <c r="R174" s="2390"/>
    </row>
    <row r="175" spans="2:18" s="2360" customFormat="1">
      <c r="B175" s="2388"/>
      <c r="C175" s="2388"/>
      <c r="D175" s="2388"/>
      <c r="E175" s="2388"/>
      <c r="F175" s="2388"/>
      <c r="G175" s="2389"/>
      <c r="H175" s="2388"/>
      <c r="I175" s="2389"/>
      <c r="J175" s="2388"/>
      <c r="K175" s="2388"/>
      <c r="L175" s="2389"/>
      <c r="M175" s="2388"/>
      <c r="N175" s="2388"/>
      <c r="O175" s="2389"/>
      <c r="P175" s="2388"/>
      <c r="Q175" s="2388"/>
      <c r="R175" s="2390"/>
    </row>
    <row r="176" spans="2:18" s="2360" customFormat="1">
      <c r="B176" s="2388"/>
      <c r="C176" s="2388"/>
      <c r="D176" s="2388"/>
      <c r="E176" s="2388"/>
      <c r="F176" s="2388"/>
      <c r="G176" s="2389"/>
      <c r="H176" s="2388"/>
      <c r="I176" s="2389"/>
      <c r="J176" s="2388"/>
      <c r="K176" s="2388"/>
      <c r="L176" s="2389"/>
      <c r="M176" s="2388"/>
      <c r="N176" s="2388"/>
      <c r="O176" s="2389"/>
      <c r="P176" s="2388"/>
      <c r="Q176" s="2388"/>
      <c r="R176" s="2390"/>
    </row>
    <row r="177" spans="1:18" s="2360" customFormat="1">
      <c r="B177" s="2388"/>
      <c r="C177" s="2388"/>
      <c r="D177" s="2388"/>
      <c r="E177" s="2388"/>
      <c r="F177" s="2388"/>
      <c r="G177" s="2389"/>
      <c r="H177" s="2388"/>
      <c r="I177" s="2389"/>
      <c r="J177" s="2388"/>
      <c r="K177" s="2388"/>
      <c r="L177" s="2389"/>
      <c r="M177" s="2388"/>
      <c r="N177" s="2388"/>
      <c r="O177" s="2389"/>
      <c r="P177" s="2388"/>
      <c r="Q177" s="2388"/>
      <c r="R177" s="2390"/>
    </row>
    <row r="178" spans="1:18" s="2360" customFormat="1">
      <c r="B178" s="2388"/>
      <c r="C178" s="2388"/>
      <c r="D178" s="2388"/>
      <c r="E178" s="2388"/>
      <c r="F178" s="2388"/>
      <c r="G178" s="2389"/>
      <c r="H178" s="2388"/>
      <c r="I178" s="2389"/>
      <c r="J178" s="2388"/>
      <c r="K178" s="2388"/>
      <c r="L178" s="2389"/>
      <c r="M178" s="2388"/>
      <c r="N178" s="2388"/>
      <c r="O178" s="2389"/>
      <c r="P178" s="2388"/>
      <c r="Q178" s="2388"/>
      <c r="R178" s="2390"/>
    </row>
    <row r="179" spans="1:18" s="2360" customFormat="1">
      <c r="B179" s="2388"/>
      <c r="C179" s="2388"/>
      <c r="D179" s="2388"/>
      <c r="E179" s="2388"/>
      <c r="F179" s="2388"/>
      <c r="G179" s="2389"/>
      <c r="H179" s="2388"/>
      <c r="I179" s="2389"/>
      <c r="J179" s="2388"/>
      <c r="K179" s="2388"/>
      <c r="L179" s="2389"/>
      <c r="M179" s="2388"/>
      <c r="N179" s="2388"/>
      <c r="O179" s="2389"/>
      <c r="P179" s="2388"/>
      <c r="Q179" s="2388"/>
      <c r="R179" s="2390"/>
    </row>
    <row r="180" spans="1:18" s="2360" customFormat="1">
      <c r="B180" s="2388"/>
      <c r="C180" s="2388"/>
      <c r="D180" s="2388"/>
      <c r="E180" s="2388"/>
      <c r="F180" s="2388"/>
      <c r="G180" s="2389"/>
      <c r="H180" s="2388"/>
      <c r="I180" s="2389"/>
      <c r="J180" s="2388"/>
      <c r="K180" s="2388"/>
      <c r="L180" s="2389"/>
      <c r="M180" s="2388"/>
      <c r="N180" s="2388"/>
      <c r="O180" s="2389"/>
      <c r="P180" s="2388"/>
      <c r="Q180" s="2388"/>
      <c r="R180" s="2390"/>
    </row>
    <row r="181" spans="1:18" s="2360" customFormat="1">
      <c r="B181" s="2388"/>
      <c r="C181" s="2388"/>
      <c r="D181" s="2388"/>
      <c r="E181" s="2388"/>
      <c r="F181" s="2388"/>
      <c r="G181" s="2389"/>
      <c r="H181" s="2388"/>
      <c r="I181" s="2389"/>
      <c r="J181" s="2388"/>
      <c r="K181" s="2388"/>
      <c r="L181" s="2389"/>
      <c r="M181" s="2388"/>
      <c r="N181" s="2388"/>
      <c r="O181" s="2389"/>
      <c r="P181" s="2388"/>
      <c r="Q181" s="2388"/>
      <c r="R181" s="2390"/>
    </row>
    <row r="182" spans="1:18" s="2360" customFormat="1">
      <c r="B182" s="2388"/>
      <c r="C182" s="2388"/>
      <c r="D182" s="2388"/>
      <c r="E182" s="2388"/>
      <c r="F182" s="2388"/>
      <c r="G182" s="2389"/>
      <c r="H182" s="2388"/>
      <c r="I182" s="2389"/>
      <c r="J182" s="2388"/>
      <c r="K182" s="2388"/>
      <c r="L182" s="2389"/>
      <c r="M182" s="2388"/>
      <c r="N182" s="2388"/>
      <c r="O182" s="2389"/>
      <c r="P182" s="2388"/>
      <c r="Q182" s="2388"/>
      <c r="R182" s="2390"/>
    </row>
    <row r="183" spans="1:18" s="2360" customFormat="1">
      <c r="B183" s="2388"/>
      <c r="C183" s="2388"/>
      <c r="D183" s="2388"/>
      <c r="E183" s="2388"/>
      <c r="F183" s="2388"/>
      <c r="G183" s="2389"/>
      <c r="H183" s="2388"/>
      <c r="I183" s="2389"/>
      <c r="J183" s="2388"/>
      <c r="K183" s="2388"/>
      <c r="L183" s="2389"/>
      <c r="M183" s="2388"/>
      <c r="N183" s="2388"/>
      <c r="O183" s="2389"/>
      <c r="P183" s="2388"/>
      <c r="Q183" s="2388"/>
      <c r="R183" s="2390"/>
    </row>
    <row r="184" spans="1:18" s="2360" customFormat="1">
      <c r="B184" s="2388"/>
      <c r="C184" s="2388"/>
      <c r="D184" s="2388"/>
      <c r="E184" s="2388"/>
      <c r="F184" s="2388"/>
      <c r="G184" s="2389"/>
      <c r="H184" s="2388"/>
      <c r="I184" s="2389"/>
      <c r="J184" s="2388"/>
      <c r="K184" s="2388"/>
      <c r="L184" s="2389"/>
      <c r="M184" s="2388"/>
      <c r="N184" s="2388"/>
      <c r="O184" s="2389"/>
      <c r="P184" s="2388"/>
      <c r="Q184" s="2388"/>
      <c r="R184" s="2390"/>
    </row>
    <row r="185" spans="1:18" s="2360"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0"/>
      <c r="B186" s="2388"/>
      <c r="C186" s="2388"/>
      <c r="E186" s="2388"/>
      <c r="F186" s="2388"/>
      <c r="G186" s="2389"/>
    </row>
    <row r="187" spans="1:18">
      <c r="A187" s="2360"/>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5" customWidth="1"/>
    <col min="2" max="9" width="15.75" style="1735" customWidth="1"/>
    <col min="10" max="16384" width="9" style="1735"/>
  </cols>
  <sheetData>
    <row r="1" spans="1:10" ht="16.5">
      <c r="A1" s="1740" t="s">
        <v>1366</v>
      </c>
      <c r="B1" s="1740">
        <f>SUM(B14:B23)</f>
        <v>67330.170000000013</v>
      </c>
      <c r="C1" s="1739"/>
      <c r="D1" s="1739"/>
      <c r="E1" s="1739"/>
      <c r="F1" s="1739"/>
      <c r="G1" s="1737"/>
    </row>
    <row r="2" spans="1:10" ht="16.5">
      <c r="A2" s="1740" t="s">
        <v>1354</v>
      </c>
      <c r="B2" s="1740">
        <f>SUM(C14:C23)</f>
        <v>21196.98</v>
      </c>
      <c r="C2" s="1739"/>
      <c r="D2" s="1739"/>
      <c r="E2" s="1739"/>
      <c r="F2" s="1739"/>
      <c r="G2" s="1737"/>
    </row>
    <row r="3" spans="1:10" ht="16.5">
      <c r="A3" s="1740" t="s">
        <v>1363</v>
      </c>
      <c r="B3" s="1741">
        <f>项目基本情况!D3</f>
        <v>43056</v>
      </c>
      <c r="C3" s="1739"/>
      <c r="D3" s="1739"/>
      <c r="E3" s="1739"/>
      <c r="F3" s="1739"/>
      <c r="G3" s="1737"/>
    </row>
    <row r="4" spans="1:10" ht="33">
      <c r="A4" s="1740" t="s">
        <v>1362</v>
      </c>
      <c r="B4" s="1740" t="s">
        <v>1361</v>
      </c>
      <c r="C4" s="1740" t="s">
        <v>1360</v>
      </c>
      <c r="D4" s="1740" t="s">
        <v>1359</v>
      </c>
      <c r="E4" s="1739"/>
      <c r="F4" s="1737"/>
      <c r="G4" s="1737"/>
    </row>
    <row r="5" spans="1:10" ht="16.5">
      <c r="A5" s="1740" t="s">
        <v>1358</v>
      </c>
      <c r="B5" s="1740">
        <f ca="1">SUM(D14:D23)</f>
        <v>90613</v>
      </c>
      <c r="C5" s="1740">
        <f ca="1">ROUND(B5*10000/$B$1,0)</f>
        <v>13458</v>
      </c>
      <c r="D5" s="1740">
        <f ca="1">ROUND(B5*10000/$B$2,0)</f>
        <v>42748</v>
      </c>
      <c r="E5" s="1739"/>
      <c r="F5" s="1737"/>
      <c r="G5" s="1737"/>
    </row>
    <row r="6" spans="1:10" ht="16.5">
      <c r="A6" s="1740" t="s">
        <v>1357</v>
      </c>
      <c r="B6" s="1740">
        <f>SUM(G14:G23)</f>
        <v>0</v>
      </c>
      <c r="C6" s="1740">
        <f>ROUND(B6*10000/$B$1,0)</f>
        <v>0</v>
      </c>
      <c r="D6" s="1740">
        <f>ROUND(B6*10000/$B$2,0)</f>
        <v>0</v>
      </c>
      <c r="E6" s="1739"/>
      <c r="F6" s="1737"/>
      <c r="G6" s="1737"/>
    </row>
    <row r="7" spans="1:10" ht="16.5">
      <c r="A7" s="1740" t="s">
        <v>1365</v>
      </c>
      <c r="B7" s="1740">
        <f ca="1">SUM(H14:H23)</f>
        <v>90613</v>
      </c>
      <c r="C7" s="1740">
        <f ca="1">ROUND(B7*10000/$B$1,0)</f>
        <v>13458</v>
      </c>
      <c r="D7" s="1740">
        <f ca="1">ROUND(B7*10000/$B$2,0)</f>
        <v>42748</v>
      </c>
      <c r="E7" s="1739"/>
      <c r="F7" s="1737"/>
      <c r="G7" s="1737"/>
    </row>
    <row r="8" spans="1:10" ht="16.5">
      <c r="A8" s="1740" t="s">
        <v>1286</v>
      </c>
      <c r="B8" s="1740">
        <f>SUM(I14:I23)</f>
        <v>0</v>
      </c>
      <c r="C8" s="1740">
        <f>ROUND(B8*10000/$B$1,0)</f>
        <v>0</v>
      </c>
      <c r="D8" s="1740">
        <f>ROUND(B8*10000/$B$2,0)</f>
        <v>0</v>
      </c>
      <c r="E8" s="1739"/>
      <c r="F8" s="1737"/>
      <c r="G8" s="1737"/>
    </row>
    <row r="9" spans="1:10" ht="16.5">
      <c r="A9" s="1740" t="s">
        <v>1356</v>
      </c>
      <c r="B9" s="1742"/>
      <c r="C9" s="1739"/>
      <c r="D9" s="1739"/>
      <c r="E9" s="1739"/>
      <c r="F9" s="1737"/>
      <c r="G9" s="1737"/>
    </row>
    <row r="10" spans="1:10" ht="16.5">
      <c r="A10" s="1740" t="s">
        <v>1355</v>
      </c>
      <c r="B10" s="1742"/>
      <c r="C10" s="1739"/>
      <c r="D10" s="1739"/>
      <c r="E10" s="1739"/>
      <c r="F10" s="1737"/>
      <c r="G10" s="1737"/>
    </row>
    <row r="11" spans="1:10" ht="16.5">
      <c r="A11" s="1740" t="s">
        <v>1371</v>
      </c>
      <c r="B11" s="1742"/>
      <c r="C11" s="1739"/>
      <c r="D11" s="1739"/>
      <c r="E11" s="1739"/>
      <c r="F11" s="1737"/>
      <c r="G11" s="1737"/>
    </row>
    <row r="12" spans="1:10" ht="16.5">
      <c r="A12" s="1739"/>
      <c r="B12" s="1739"/>
      <c r="C12" s="1739"/>
      <c r="D12" s="1739"/>
      <c r="E12" s="1739"/>
      <c r="F12" s="1737"/>
      <c r="G12" s="1737"/>
    </row>
    <row r="13" spans="1:10" ht="33">
      <c r="A13" s="1745" t="s">
        <v>1370</v>
      </c>
      <c r="B13" s="1738" t="s">
        <v>1367</v>
      </c>
      <c r="C13" s="1738" t="s">
        <v>1369</v>
      </c>
      <c r="D13" s="1738" t="s">
        <v>1368</v>
      </c>
      <c r="E13" s="1740" t="s">
        <v>1360</v>
      </c>
      <c r="F13" s="1740" t="s">
        <v>1359</v>
      </c>
      <c r="G13" s="1738" t="s">
        <v>1353</v>
      </c>
      <c r="H13" s="1738" t="s">
        <v>1364</v>
      </c>
      <c r="I13" s="1738" t="s">
        <v>1352</v>
      </c>
      <c r="J13" s="1737"/>
    </row>
    <row r="14" spans="1:10" ht="16.5">
      <c r="A14" s="1736" t="s">
        <v>1351</v>
      </c>
      <c r="B14" s="1738">
        <f>结果表!B118</f>
        <v>67330.170000000013</v>
      </c>
      <c r="C14" s="1738">
        <f>结果表!C118</f>
        <v>21196.98</v>
      </c>
      <c r="D14" s="1738">
        <f ca="1">结果表!H118</f>
        <v>90613</v>
      </c>
      <c r="E14" s="1738">
        <f ca="1">ROUND(D14*10000/B14,0)</f>
        <v>13458</v>
      </c>
      <c r="F14" s="1738">
        <f ca="1">ROUND(D14*10000/C14,0)</f>
        <v>42748</v>
      </c>
      <c r="G14" s="1738" t="str">
        <f>结果表!D122</f>
        <v>——</v>
      </c>
      <c r="H14" s="1738">
        <f ca="1">结果表!D124</f>
        <v>90613</v>
      </c>
      <c r="I14" s="1738" t="str">
        <f>结果表!D126</f>
        <v>——</v>
      </c>
      <c r="J14" s="1737"/>
    </row>
    <row r="15" spans="1:10" ht="16.5">
      <c r="A15" s="1736" t="s">
        <v>1350</v>
      </c>
      <c r="B15" s="1743"/>
      <c r="C15" s="1743"/>
      <c r="D15" s="1743"/>
      <c r="E15" s="1738" t="e">
        <f t="shared" ref="E15:E23" si="0">ROUND(D15*10000/B15,0)</f>
        <v>#DIV/0!</v>
      </c>
      <c r="F15" s="1738" t="e">
        <f t="shared" ref="F15:F23" si="1">ROUND(D15*10000/C15,0)</f>
        <v>#DIV/0!</v>
      </c>
      <c r="G15" s="1744"/>
      <c r="H15" s="1744"/>
      <c r="I15" s="1743"/>
      <c r="J15" s="1737"/>
    </row>
    <row r="16" spans="1:10" ht="16.5">
      <c r="A16" s="1736" t="s">
        <v>1349</v>
      </c>
      <c r="B16" s="1743"/>
      <c r="C16" s="1743"/>
      <c r="D16" s="1743"/>
      <c r="E16" s="1738" t="e">
        <f t="shared" si="0"/>
        <v>#DIV/0!</v>
      </c>
      <c r="F16" s="1738" t="e">
        <f t="shared" si="1"/>
        <v>#DIV/0!</v>
      </c>
      <c r="G16" s="1744"/>
      <c r="H16" s="1744"/>
      <c r="I16" s="1743"/>
    </row>
    <row r="17" spans="1:9" ht="16.5">
      <c r="A17" s="1736" t="s">
        <v>1348</v>
      </c>
      <c r="B17" s="1743"/>
      <c r="C17" s="1743"/>
      <c r="D17" s="1743"/>
      <c r="E17" s="1738" t="e">
        <f t="shared" si="0"/>
        <v>#DIV/0!</v>
      </c>
      <c r="F17" s="1738" t="e">
        <f t="shared" si="1"/>
        <v>#DIV/0!</v>
      </c>
      <c r="G17" s="1744"/>
      <c r="H17" s="1744"/>
      <c r="I17" s="1743"/>
    </row>
    <row r="18" spans="1:9" ht="16.5">
      <c r="A18" s="1736" t="s">
        <v>1347</v>
      </c>
      <c r="B18" s="1743"/>
      <c r="C18" s="1743"/>
      <c r="D18" s="1743"/>
      <c r="E18" s="1738" t="e">
        <f t="shared" si="0"/>
        <v>#DIV/0!</v>
      </c>
      <c r="F18" s="1738" t="e">
        <f t="shared" si="1"/>
        <v>#DIV/0!</v>
      </c>
      <c r="G18" s="1743"/>
      <c r="H18" s="1743"/>
      <c r="I18" s="1743"/>
    </row>
    <row r="19" spans="1:9" ht="16.5">
      <c r="A19" s="1736" t="s">
        <v>1346</v>
      </c>
      <c r="B19" s="1743"/>
      <c r="C19" s="1743"/>
      <c r="D19" s="1743"/>
      <c r="E19" s="1738" t="e">
        <f t="shared" si="0"/>
        <v>#DIV/0!</v>
      </c>
      <c r="F19" s="1738" t="e">
        <f t="shared" si="1"/>
        <v>#DIV/0!</v>
      </c>
      <c r="G19" s="1743"/>
      <c r="H19" s="1743"/>
      <c r="I19" s="1743"/>
    </row>
    <row r="20" spans="1:9" ht="16.5">
      <c r="A20" s="1736" t="s">
        <v>1345</v>
      </c>
      <c r="B20" s="1743"/>
      <c r="C20" s="1743"/>
      <c r="D20" s="1743"/>
      <c r="E20" s="1738" t="e">
        <f t="shared" si="0"/>
        <v>#DIV/0!</v>
      </c>
      <c r="F20" s="1738" t="e">
        <f t="shared" si="1"/>
        <v>#DIV/0!</v>
      </c>
      <c r="G20" s="1743"/>
      <c r="H20" s="1743"/>
      <c r="I20" s="1743"/>
    </row>
    <row r="21" spans="1:9" ht="16.5">
      <c r="A21" s="1736" t="s">
        <v>1344</v>
      </c>
      <c r="B21" s="1743"/>
      <c r="C21" s="1743"/>
      <c r="D21" s="1743"/>
      <c r="E21" s="1738" t="e">
        <f t="shared" si="0"/>
        <v>#DIV/0!</v>
      </c>
      <c r="F21" s="1738" t="e">
        <f t="shared" si="1"/>
        <v>#DIV/0!</v>
      </c>
      <c r="G21" s="1743"/>
      <c r="H21" s="1743"/>
      <c r="I21" s="1743"/>
    </row>
    <row r="22" spans="1:9" ht="16.5">
      <c r="A22" s="1736" t="s">
        <v>1343</v>
      </c>
      <c r="B22" s="1743"/>
      <c r="C22" s="1743"/>
      <c r="D22" s="1743"/>
      <c r="E22" s="1738" t="e">
        <f t="shared" si="0"/>
        <v>#DIV/0!</v>
      </c>
      <c r="F22" s="1738" t="e">
        <f t="shared" si="1"/>
        <v>#DIV/0!</v>
      </c>
      <c r="G22" s="1743"/>
      <c r="H22" s="1743"/>
      <c r="I22" s="1743"/>
    </row>
    <row r="23" spans="1:9" ht="16.5">
      <c r="A23" s="1736" t="s">
        <v>1342</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3" zoomScaleSheetLayoutView="100" zoomScalePageLayoutView="80" workbookViewId="0">
      <selection activeCell="H119" sqref="H119:I119"/>
    </sheetView>
  </sheetViews>
  <sheetFormatPr defaultColWidth="12.625" defaultRowHeight="21.75" customHeight="1"/>
  <cols>
    <col min="1" max="2" width="12.625" style="2417"/>
    <col min="3" max="4" width="12.625" style="2417" customWidth="1"/>
    <col min="5" max="9" width="12.625" style="2417"/>
    <col min="10" max="11" width="12.625" style="792" customWidth="1"/>
    <col min="12" max="12" width="12.625" style="792"/>
    <col min="13" max="13" width="14.125" style="792" bestFit="1" customWidth="1"/>
    <col min="14" max="26" width="12.625" style="792"/>
    <col min="27" max="35" width="12.625" style="2416"/>
    <col min="36" max="16384" width="12.625" style="2417"/>
  </cols>
  <sheetData>
    <row r="1" spans="1:12" ht="21.75" customHeight="1" thickBot="1">
      <c r="A1" s="2218" t="s">
        <v>2124</v>
      </c>
      <c r="B1" s="2411"/>
      <c r="C1" s="2412"/>
      <c r="D1" s="2411"/>
      <c r="E1" s="2411"/>
      <c r="F1" s="2413" t="s">
        <v>2125</v>
      </c>
      <c r="G1" s="2063" t="s">
        <v>2126</v>
      </c>
      <c r="H1" s="2414" t="str">
        <f>IF(G1="现房","——","估价对象范围")</f>
        <v>估价对象范围</v>
      </c>
      <c r="I1" s="2415"/>
    </row>
    <row r="2" spans="1:12" ht="21.75" customHeight="1" thickBot="1">
      <c r="A2" s="3157" t="str">
        <f>项目基本情况!S2</f>
        <v>山东省济南市高新区凤凰路以西、旅游路以南出让国有建设用地使用权及在建建筑物房地产</v>
      </c>
      <c r="B2" s="3158"/>
      <c r="C2" s="3158"/>
      <c r="D2" s="3158"/>
      <c r="E2" s="3158"/>
      <c r="F2" s="3158"/>
      <c r="G2" s="3158"/>
      <c r="H2" s="3158"/>
      <c r="I2" s="3159"/>
    </row>
    <row r="3" spans="1:12" ht="12.75">
      <c r="A3" s="3160" t="s">
        <v>2127</v>
      </c>
      <c r="B3" s="3161"/>
      <c r="C3" s="3161"/>
      <c r="D3" s="3161"/>
      <c r="E3" s="3161"/>
      <c r="F3" s="3161"/>
      <c r="G3" s="3161"/>
      <c r="H3" s="3161"/>
      <c r="I3" s="3161"/>
    </row>
    <row r="4" spans="1:12" ht="14.25">
      <c r="A4" s="2418" t="s">
        <v>2128</v>
      </c>
      <c r="B4" s="2419" t="s">
        <v>2129</v>
      </c>
      <c r="C4" s="2420" t="s">
        <v>3107</v>
      </c>
      <c r="D4" s="2420" t="s">
        <v>3108</v>
      </c>
      <c r="E4" s="3141" t="s">
        <v>2130</v>
      </c>
      <c r="F4" s="3154"/>
      <c r="G4" s="3154"/>
      <c r="H4" s="3154"/>
      <c r="I4" s="3142"/>
      <c r="K4" s="2421" t="str">
        <f>IF(ISNUMBER(FIND("比较法",结果表!C4)),"比较法",IF(ISNUMBER(FIND("成本法",结果表!C4)),"成本法",IF(ISNUMBER(FIND("假设开发法",结果表!C4)),"假设开发法",IF(ISNUMBER(FIND("收益法",结果表!C4)),"收益法","基准地价系数修正法"))))</f>
        <v>成本法</v>
      </c>
      <c r="L4" s="2421" t="str">
        <f>IF(ISNUMBER(FIND("比较法",结果表!D4)),"比较法",IF(ISNUMBER(FIND("成本法",结果表!D4)),"成本法",IF(ISNUMBER(FIND("假设开发法",结果表!D4)),"假设开发法",IF(ISNUMBER(FIND("收益法",结果表!D4)),"收益法","基准地价系数修正法"))))</f>
        <v>假设开发法</v>
      </c>
    </row>
    <row r="5" spans="1:12" ht="12.75">
      <c r="A5" s="3132" t="s">
        <v>2131</v>
      </c>
      <c r="B5" s="3058">
        <v>25</v>
      </c>
      <c r="C5" s="3162"/>
      <c r="D5" s="3150"/>
      <c r="E5" s="137" t="s">
        <v>2132</v>
      </c>
      <c r="F5" s="2422"/>
      <c r="G5" s="2422"/>
      <c r="H5" s="2422"/>
      <c r="I5" s="1828"/>
    </row>
    <row r="6" spans="1:12" ht="12.75">
      <c r="A6" s="3132"/>
      <c r="B6" s="3058"/>
      <c r="C6" s="3164"/>
      <c r="D6" s="3150"/>
      <c r="E6" s="137" t="s">
        <v>2133</v>
      </c>
      <c r="F6" s="2422"/>
      <c r="G6" s="2422"/>
      <c r="H6" s="2422"/>
      <c r="I6" s="1828"/>
    </row>
    <row r="7" spans="1:12" ht="12.75">
      <c r="A7" s="3132"/>
      <c r="B7" s="3058"/>
      <c r="C7" s="3163"/>
      <c r="D7" s="3150"/>
      <c r="E7" s="137" t="s">
        <v>2134</v>
      </c>
      <c r="F7" s="2422"/>
      <c r="G7" s="2422"/>
      <c r="H7" s="2422"/>
      <c r="I7" s="1828"/>
    </row>
    <row r="8" spans="1:12" ht="12.75">
      <c r="A8" s="3132" t="s">
        <v>2135</v>
      </c>
      <c r="B8" s="3058">
        <v>15</v>
      </c>
      <c r="C8" s="3162"/>
      <c r="D8" s="3150"/>
      <c r="E8" s="137" t="s">
        <v>2136</v>
      </c>
      <c r="F8" s="2422"/>
      <c r="G8" s="2422"/>
      <c r="H8" s="2422"/>
      <c r="I8" s="1828"/>
    </row>
    <row r="9" spans="1:12" ht="12.75">
      <c r="A9" s="3132"/>
      <c r="B9" s="3058"/>
      <c r="C9" s="3163"/>
      <c r="D9" s="3150"/>
      <c r="E9" s="137" t="s">
        <v>2137</v>
      </c>
      <c r="F9" s="2422"/>
      <c r="G9" s="2422"/>
      <c r="H9" s="2422"/>
      <c r="I9" s="1828"/>
    </row>
    <row r="10" spans="1:12" ht="12.75">
      <c r="A10" s="3132" t="s">
        <v>2138</v>
      </c>
      <c r="B10" s="3058">
        <v>15</v>
      </c>
      <c r="C10" s="3162"/>
      <c r="D10" s="3150"/>
      <c r="E10" s="137" t="s">
        <v>2139</v>
      </c>
      <c r="F10" s="2422"/>
      <c r="G10" s="2422"/>
      <c r="H10" s="2422"/>
      <c r="I10" s="1828"/>
    </row>
    <row r="11" spans="1:12" ht="12.75">
      <c r="A11" s="3132"/>
      <c r="B11" s="3058"/>
      <c r="C11" s="3163"/>
      <c r="D11" s="3150"/>
      <c r="E11" s="137" t="s">
        <v>2140</v>
      </c>
      <c r="F11" s="2422"/>
      <c r="G11" s="2422"/>
      <c r="H11" s="2422"/>
      <c r="I11" s="1828"/>
    </row>
    <row r="12" spans="1:12" ht="12.75">
      <c r="A12" s="3132" t="s">
        <v>2141</v>
      </c>
      <c r="B12" s="3058">
        <v>15</v>
      </c>
      <c r="C12" s="3162"/>
      <c r="D12" s="3150"/>
      <c r="E12" s="137" t="s">
        <v>2142</v>
      </c>
      <c r="F12" s="2422"/>
      <c r="G12" s="2422"/>
      <c r="H12" s="2422"/>
      <c r="I12" s="1828"/>
    </row>
    <row r="13" spans="1:12" ht="12.75">
      <c r="A13" s="3132"/>
      <c r="B13" s="3058"/>
      <c r="C13" s="3163"/>
      <c r="D13" s="3150"/>
      <c r="E13" s="137" t="s">
        <v>2143</v>
      </c>
      <c r="F13" s="2422"/>
      <c r="G13" s="2422"/>
      <c r="H13" s="2422"/>
      <c r="I13" s="1828"/>
    </row>
    <row r="14" spans="1:12" ht="12.75">
      <c r="A14" s="3132" t="s">
        <v>2144</v>
      </c>
      <c r="B14" s="3058">
        <v>30</v>
      </c>
      <c r="C14" s="3162">
        <v>5</v>
      </c>
      <c r="D14" s="3150">
        <v>5</v>
      </c>
      <c r="E14" s="137" t="s">
        <v>2145</v>
      </c>
      <c r="F14" s="2422"/>
      <c r="G14" s="2422"/>
      <c r="H14" s="2422"/>
      <c r="I14" s="1828"/>
    </row>
    <row r="15" spans="1:12" ht="12.75">
      <c r="A15" s="3132"/>
      <c r="B15" s="3058"/>
      <c r="C15" s="3164"/>
      <c r="D15" s="3150"/>
      <c r="E15" s="137" t="s">
        <v>2146</v>
      </c>
      <c r="F15" s="2422"/>
      <c r="G15" s="2422"/>
      <c r="H15" s="2422"/>
      <c r="I15" s="1828"/>
    </row>
    <row r="16" spans="1:12" ht="12.75">
      <c r="A16" s="3132"/>
      <c r="B16" s="3058"/>
      <c r="C16" s="3163"/>
      <c r="D16" s="3150"/>
      <c r="E16" s="137" t="s">
        <v>2147</v>
      </c>
      <c r="F16" s="2422"/>
      <c r="G16" s="2422"/>
      <c r="H16" s="2422"/>
      <c r="I16" s="1828"/>
    </row>
    <row r="17" spans="1:35" ht="15">
      <c r="A17" s="2423" t="s">
        <v>2148</v>
      </c>
      <c r="B17" s="63"/>
      <c r="C17" s="138">
        <f>SUM(C5:C16)</f>
        <v>5</v>
      </c>
      <c r="D17" s="138">
        <f>SUM(D5:D16)</f>
        <v>5</v>
      </c>
      <c r="E17" s="135"/>
      <c r="F17" s="135"/>
      <c r="G17" s="135"/>
      <c r="H17" s="135"/>
      <c r="I17" s="135"/>
      <c r="K17" s="2421"/>
      <c r="L17" s="2424" t="s">
        <v>2149</v>
      </c>
      <c r="M17" s="2424" t="s">
        <v>2150</v>
      </c>
    </row>
    <row r="18" spans="1:35" ht="15.75" thickBot="1">
      <c r="A18" s="2425" t="s">
        <v>2151</v>
      </c>
      <c r="B18" s="2426"/>
      <c r="C18" s="139">
        <f>ROUND(C17/SUM(C17:D17),2)</f>
        <v>0.5</v>
      </c>
      <c r="D18" s="139">
        <f>1-C18</f>
        <v>0.5</v>
      </c>
      <c r="E18" s="135"/>
      <c r="F18" s="135"/>
      <c r="G18" s="135"/>
      <c r="H18" s="135"/>
      <c r="I18" s="135"/>
      <c r="K18" s="2421" t="s">
        <v>2152</v>
      </c>
      <c r="L18" s="2421">
        <f>IF(C1="",'数据-汇总表'!E3,SUMIF(项目类型,C1,'数据-汇总表'!E17:E26)+SUMIF(项目类型,C1,'数据-汇总表'!I17:I26))</f>
        <v>67330.170000000013</v>
      </c>
      <c r="M18" s="2421">
        <f>IF(C1="",'数据-汇总表'!E3,SUMIF(项目类型,C1,'数据-汇总表'!E17:E26))</f>
        <v>67330.170000000013</v>
      </c>
    </row>
    <row r="19" spans="1:35" ht="15">
      <c r="A19" s="2427" t="s">
        <v>2153</v>
      </c>
      <c r="B19" s="2428" t="s">
        <v>2154</v>
      </c>
      <c r="C19" s="140">
        <f ca="1">SUMIF(INDIRECT("'"&amp;C4&amp;"'"&amp;"!A:A"),结果表!B19,INDIRECT("'"&amp;C4&amp;"'"&amp;"!B:B"))</f>
        <v>97660</v>
      </c>
      <c r="D19" s="141">
        <f ca="1">SUMIF(INDIRECT("'"&amp;D4&amp;"'"&amp;"!A:A"),结果表!B19,INDIRECT("'"&amp;D4&amp;"'"&amp;"!B:B"))</f>
        <v>83566</v>
      </c>
      <c r="E19" s="2427" t="s">
        <v>2155</v>
      </c>
      <c r="F19" s="2428" t="s">
        <v>2154</v>
      </c>
      <c r="G19" s="142">
        <f ca="1">ROUND(C19*$C$18+D19*$D$18,0)</f>
        <v>90613</v>
      </c>
      <c r="H19" s="2429" t="s">
        <v>2156</v>
      </c>
      <c r="I19" s="135"/>
      <c r="K19" s="2421" t="s">
        <v>2157</v>
      </c>
      <c r="L19" s="2421">
        <f>IF(C1="",'数据-汇总表'!D3,SUMIF(项目类型,C1,'数据-汇总表'!D17:D26)+SUMIF(项目类型,C1,'数据-汇总表'!H17:H27))</f>
        <v>21196.98</v>
      </c>
      <c r="M19" s="2421">
        <f>IF(C1="",'数据-汇总表'!D3,SUMIF(项目类型,C1,'数据-汇总表'!D17:D26))</f>
        <v>21196.98</v>
      </c>
    </row>
    <row r="20" spans="1:35" ht="15">
      <c r="A20" s="2430"/>
      <c r="B20" s="1245" t="s">
        <v>2158</v>
      </c>
      <c r="C20" s="143">
        <f ca="1">SUMIF(INDIRECT("'"&amp;C4&amp;"'"&amp;"!A:A"),结果表!B20,INDIRECT("'"&amp;C4&amp;"'"&amp;"!B:B"))</f>
        <v>14505</v>
      </c>
      <c r="D20" s="144">
        <f ca="1">SUMIF(INDIRECT("'"&amp;D4&amp;"'"&amp;"!A:A"),结果表!B20,INDIRECT("'"&amp;D4&amp;"'"&amp;"!B:B"))</f>
        <v>12411</v>
      </c>
      <c r="E20" s="2430"/>
      <c r="F20" s="1245" t="s">
        <v>2158</v>
      </c>
      <c r="G20" s="145">
        <f ca="1">ROUND(C20*$C$18+D20*$D$18,0)</f>
        <v>13458</v>
      </c>
      <c r="H20" s="978" t="s">
        <v>2159</v>
      </c>
      <c r="I20" s="135"/>
    </row>
    <row r="21" spans="1:35" ht="15" customHeight="1" thickBot="1">
      <c r="A21" s="998"/>
      <c r="B21" s="2431" t="s">
        <v>2160</v>
      </c>
      <c r="C21" s="786">
        <f ca="1">ROUND(C19*10000/L19,0)</f>
        <v>46073</v>
      </c>
      <c r="D21" s="787">
        <f ca="1">ROUND(D19*10000/L19,0)</f>
        <v>39424</v>
      </c>
      <c r="E21" s="998"/>
      <c r="F21" s="2431" t="s">
        <v>2160</v>
      </c>
      <c r="G21" s="146">
        <f ca="1">ROUND(G19*10000/L19,0)</f>
        <v>42748</v>
      </c>
      <c r="H21" s="2432" t="s">
        <v>2159</v>
      </c>
      <c r="I21" s="135"/>
    </row>
    <row r="22" spans="1:35" ht="15" thickBot="1">
      <c r="A22" s="2273" t="s">
        <v>2161</v>
      </c>
      <c r="B22" s="2433"/>
      <c r="C22" s="2434"/>
      <c r="D22" s="788">
        <f ca="1">IF(C19&lt;D19,D19/C19-1,C19/D19-1)</f>
        <v>0.16865710935069278</v>
      </c>
      <c r="E22" s="135"/>
      <c r="F22" s="135"/>
      <c r="G22" s="135"/>
      <c r="H22" s="135"/>
      <c r="I22" s="135"/>
    </row>
    <row r="23" spans="1:35" ht="13.5" thickBot="1">
      <c r="A23" s="2411"/>
      <c r="B23" s="2411"/>
      <c r="C23" s="2411"/>
      <c r="D23" s="2411"/>
      <c r="E23" s="135"/>
      <c r="F23" s="135"/>
      <c r="G23" s="135"/>
      <c r="H23" s="135"/>
      <c r="I23" s="135"/>
    </row>
    <row r="24" spans="1:35" ht="14.25">
      <c r="A24" s="3171" t="s">
        <v>2162</v>
      </c>
      <c r="B24" s="2428" t="s">
        <v>2154</v>
      </c>
      <c r="C24" s="142">
        <f>IF(B30=0,0,D30)</f>
        <v>0</v>
      </c>
      <c r="D24" s="2435"/>
      <c r="E24" s="135"/>
      <c r="F24" s="135"/>
      <c r="G24" s="135"/>
      <c r="H24" s="135"/>
      <c r="I24" s="135"/>
    </row>
    <row r="25" spans="1:35" ht="14.25">
      <c r="A25" s="3172"/>
      <c r="B25" s="1245" t="s">
        <v>2158</v>
      </c>
      <c r="C25" s="147">
        <f>IF(B30=0,0,C30)</f>
        <v>0</v>
      </c>
      <c r="D25" s="2436"/>
      <c r="E25" s="135"/>
      <c r="F25" s="135"/>
      <c r="G25" s="135"/>
      <c r="H25" s="135"/>
      <c r="I25" s="135"/>
    </row>
    <row r="26" spans="1:35" ht="13.5" customHeight="1">
      <c r="A26" s="2437" t="s">
        <v>2163</v>
      </c>
      <c r="B26" s="148" t="s">
        <v>2164</v>
      </c>
      <c r="C26" s="148" t="s">
        <v>2165</v>
      </c>
      <c r="D26" s="149" t="s">
        <v>2166</v>
      </c>
      <c r="E26" s="135"/>
      <c r="F26" s="135"/>
      <c r="G26" s="135"/>
      <c r="H26" s="135"/>
      <c r="I26" s="135"/>
    </row>
    <row r="27" spans="1:35" ht="14.25">
      <c r="A27" s="2437"/>
      <c r="B27" s="148">
        <v>0</v>
      </c>
      <c r="C27" s="148">
        <v>0</v>
      </c>
      <c r="D27" s="149">
        <f>ROUND(C27*B27/10000,0)</f>
        <v>0</v>
      </c>
      <c r="E27" s="135"/>
      <c r="F27" s="135"/>
      <c r="G27" s="135"/>
      <c r="H27" s="135"/>
      <c r="I27" s="135"/>
    </row>
    <row r="28" spans="1:35" ht="14.25">
      <c r="A28" s="2437"/>
      <c r="B28" s="148"/>
      <c r="C28" s="148"/>
      <c r="D28" s="149"/>
      <c r="E28" s="135"/>
      <c r="F28" s="135"/>
      <c r="G28" s="135"/>
      <c r="H28" s="135"/>
      <c r="I28" s="135"/>
    </row>
    <row r="29" spans="1:35" ht="14.25">
      <c r="A29" s="2437"/>
      <c r="B29" s="148"/>
      <c r="C29" s="148"/>
      <c r="D29" s="149"/>
      <c r="E29" s="135"/>
      <c r="F29" s="135"/>
      <c r="G29" s="135"/>
      <c r="H29" s="135"/>
      <c r="I29" s="135"/>
    </row>
    <row r="30" spans="1:35" ht="14.25">
      <c r="A30" s="150" t="s">
        <v>2167</v>
      </c>
      <c r="B30" s="150">
        <f>SUM(B27:B29)</f>
        <v>0</v>
      </c>
      <c r="C30" s="150" t="e">
        <f>ROUND(D30*10000/B30,0)</f>
        <v>#DIV/0!</v>
      </c>
      <c r="D30" s="150">
        <f>SUM(D27:D29)</f>
        <v>0</v>
      </c>
      <c r="E30" s="135"/>
      <c r="F30" s="135"/>
      <c r="G30" s="135"/>
      <c r="H30" s="135"/>
      <c r="I30" s="135"/>
    </row>
    <row r="31" spans="1:35" s="2439" customFormat="1" ht="15" thickBot="1">
      <c r="A31" s="2438"/>
      <c r="B31" s="2438"/>
      <c r="C31" s="2438"/>
      <c r="D31" s="2438"/>
      <c r="E31" s="135"/>
      <c r="F31" s="135"/>
      <c r="G31" s="135"/>
      <c r="H31" s="135"/>
      <c r="I31" s="135"/>
      <c r="J31" s="792"/>
      <c r="K31" s="792"/>
      <c r="L31" s="792"/>
      <c r="M31" s="792"/>
      <c r="N31" s="792"/>
      <c r="O31" s="792"/>
      <c r="P31" s="792"/>
      <c r="Q31" s="792"/>
      <c r="R31" s="792"/>
      <c r="S31" s="792"/>
      <c r="T31" s="792"/>
      <c r="U31" s="792"/>
      <c r="V31" s="792"/>
      <c r="W31" s="792"/>
      <c r="X31" s="792"/>
      <c r="Y31" s="792"/>
      <c r="Z31" s="792"/>
      <c r="AA31" s="2416"/>
      <c r="AB31" s="2416"/>
      <c r="AC31" s="2416"/>
      <c r="AD31" s="2416"/>
      <c r="AE31" s="2416"/>
      <c r="AF31" s="2416"/>
      <c r="AG31" s="2416"/>
      <c r="AH31" s="2416"/>
      <c r="AI31" s="2416"/>
    </row>
    <row r="32" spans="1:35" ht="15.75" thickBot="1">
      <c r="A32" s="2440" t="s">
        <v>2168</v>
      </c>
      <c r="B32" s="2441"/>
      <c r="C32" s="151">
        <f ca="1">IF(D32="总价",G19-C24,G20-C25)</f>
        <v>90613</v>
      </c>
      <c r="D32" s="2442" t="s">
        <v>3169</v>
      </c>
      <c r="E32" s="135"/>
      <c r="F32" s="135"/>
      <c r="G32" s="135"/>
      <c r="H32" s="135"/>
      <c r="I32" s="135"/>
    </row>
    <row r="33" spans="1:15" ht="15">
      <c r="A33" s="955" t="s">
        <v>2169</v>
      </c>
      <c r="B33" s="2443"/>
      <c r="C33" s="2444" t="s">
        <v>3168</v>
      </c>
      <c r="D33" s="2445" t="s">
        <v>3107</v>
      </c>
      <c r="E33" s="2446" t="s">
        <v>2170</v>
      </c>
      <c r="F33" s="2447" t="str">
        <f>IF(D32="楼面单价","取值（单价）","取值（总价）")</f>
        <v>取值（总价）</v>
      </c>
      <c r="G33" s="135"/>
      <c r="H33" s="135"/>
      <c r="I33" s="135"/>
    </row>
    <row r="34" spans="1:15" ht="15">
      <c r="A34" s="2448"/>
      <c r="B34" s="2449" t="s">
        <v>2171</v>
      </c>
      <c r="C34" s="155">
        <f ca="1">IF(C33="自定义",F34,C32-C35)</f>
        <v>86898</v>
      </c>
      <c r="D34" s="1053">
        <f ca="1">IF(C33="自定义",ROUND(C34/C32,3),IF(C33="收益比率",SUMIF(INDIRECT("'"&amp;D33&amp;"'"&amp;"!b:b"),"土地收益比率",INDIRECT("'"&amp;D33&amp;"'"&amp;"!c:c")),SUMIF(INDIRECT("'"&amp;D33&amp;"'"&amp;"!b:b"),"土地成本比率",INDIRECT("'"&amp;D33&amp;"'"&amp;"!c:c"))))</f>
        <v>0.95899999999999996</v>
      </c>
      <c r="E34" s="2450" t="s">
        <v>2172</v>
      </c>
      <c r="F34" s="1733"/>
      <c r="G34" s="135"/>
      <c r="H34" s="135"/>
      <c r="I34" s="135"/>
    </row>
    <row r="35" spans="1:15" ht="15.75" thickBot="1">
      <c r="A35" s="2451"/>
      <c r="B35" s="2452" t="s">
        <v>2173</v>
      </c>
      <c r="C35" s="1438">
        <f ca="1">IF(C33="自定义",F35,ROUND(C32*D35,0))</f>
        <v>3715</v>
      </c>
      <c r="D35" s="1439">
        <f ca="1">IF(C33="自定义",ROUND(C35/C32,3),IF(C33="收益比率",SUMIF(INDIRECT("'"&amp;D33&amp;"'"&amp;"!b:b"),"建筑物收益比率",INDIRECT("'"&amp;D33&amp;"'"&amp;"!c:c")),SUMIF(INDIRECT("'"&amp;D33&amp;"'"&amp;"!b:b"),"建筑物成本比率",INDIRECT("'"&amp;D33&amp;"'"&amp;"!c:c"))))</f>
        <v>4.1000000000000002E-2</v>
      </c>
      <c r="E35" s="2453" t="s">
        <v>2174</v>
      </c>
      <c r="F35" s="161"/>
      <c r="G35" s="135"/>
      <c r="H35" s="135"/>
      <c r="I35" s="135"/>
    </row>
    <row r="36" spans="1:15" ht="15.75" thickBot="1">
      <c r="A36" s="3151" t="s">
        <v>2175</v>
      </c>
      <c r="B36" s="2454" t="s">
        <v>2176</v>
      </c>
      <c r="C36" s="152"/>
      <c r="D36" s="2455"/>
      <c r="E36" s="2456"/>
      <c r="F36" s="2457"/>
      <c r="G36" s="135"/>
      <c r="H36" s="135"/>
      <c r="I36" s="135"/>
    </row>
    <row r="37" spans="1:15" ht="15.75" thickBot="1">
      <c r="A37" s="3152"/>
      <c r="B37" s="2259" t="s">
        <v>2177</v>
      </c>
      <c r="C37" s="154"/>
      <c r="D37" s="1389"/>
      <c r="E37" s="1389"/>
      <c r="F37" s="2457"/>
      <c r="G37" s="135"/>
      <c r="H37" s="135"/>
      <c r="I37" s="135"/>
    </row>
    <row r="38" spans="1:15" ht="15.75" thickBot="1">
      <c r="A38" s="3153"/>
      <c r="B38" s="2458" t="s">
        <v>2178</v>
      </c>
      <c r="C38" s="724"/>
      <c r="D38" s="2459" t="s">
        <v>2179</v>
      </c>
      <c r="E38" s="1389"/>
      <c r="F38" s="2457"/>
      <c r="G38" s="135"/>
      <c r="H38" s="135"/>
      <c r="I38" s="135"/>
    </row>
    <row r="39" spans="1:15" ht="15">
      <c r="A39" s="2430" t="s">
        <v>2180</v>
      </c>
      <c r="B39" s="2460" t="s">
        <v>2181</v>
      </c>
      <c r="C39" s="2461" t="s">
        <v>2182</v>
      </c>
      <c r="D39" s="2461" t="s">
        <v>2183</v>
      </c>
      <c r="E39" s="2462" t="s">
        <v>2184</v>
      </c>
      <c r="F39" s="2457"/>
      <c r="G39" s="135"/>
      <c r="H39" s="135"/>
      <c r="I39" s="135"/>
    </row>
    <row r="40" spans="1:15" ht="14.25">
      <c r="A40" s="2463" t="s">
        <v>2185</v>
      </c>
      <c r="B40" s="156"/>
      <c r="C40" s="157"/>
      <c r="D40" s="157"/>
      <c r="E40" s="158"/>
      <c r="F40" s="2457"/>
      <c r="G40" s="135"/>
      <c r="H40" s="135"/>
      <c r="I40" s="135"/>
    </row>
    <row r="41" spans="1:15" ht="14.25">
      <c r="A41" s="2463" t="s">
        <v>2186</v>
      </c>
      <c r="B41" s="156"/>
      <c r="C41" s="157"/>
      <c r="D41" s="157"/>
      <c r="E41" s="158"/>
      <c r="F41" s="2457"/>
      <c r="G41" s="135"/>
      <c r="H41" s="135"/>
      <c r="I41" s="135"/>
    </row>
    <row r="42" spans="1:15" ht="15" thickBot="1">
      <c r="A42" s="2464"/>
      <c r="B42" s="159"/>
      <c r="C42" s="160"/>
      <c r="D42" s="160"/>
      <c r="E42" s="161"/>
      <c r="F42" s="2457"/>
      <c r="G42" s="135"/>
      <c r="H42" s="135"/>
      <c r="I42" s="135"/>
    </row>
    <row r="43" spans="1:15" ht="12.75">
      <c r="A43" s="2158"/>
      <c r="B43" s="2158"/>
      <c r="C43" s="2158"/>
      <c r="D43" s="2158"/>
      <c r="E43" s="2158"/>
      <c r="F43" s="2465"/>
      <c r="G43" s="2465"/>
      <c r="H43" s="2465"/>
      <c r="I43" s="2466"/>
    </row>
    <row r="44" spans="1:15" ht="18.75">
      <c r="A44" s="2467" t="s">
        <v>2187</v>
      </c>
      <c r="B44" s="2468"/>
      <c r="C44" s="2468"/>
      <c r="D44" s="2469"/>
      <c r="E44" s="2469"/>
      <c r="F44" s="2470"/>
      <c r="G44" s="2470"/>
      <c r="H44" s="2470"/>
      <c r="I44" s="2470"/>
      <c r="J44" s="2471" t="s">
        <v>2188</v>
      </c>
      <c r="K44" s="2472"/>
      <c r="L44" s="2472"/>
      <c r="M44" s="2472"/>
      <c r="N44" s="2472"/>
      <c r="O44" s="2472"/>
    </row>
    <row r="45" spans="1:15" ht="14.25" customHeight="1" thickBot="1">
      <c r="A45" s="3168" t="s">
        <v>2189</v>
      </c>
      <c r="B45" s="3169"/>
      <c r="C45" s="3170"/>
      <c r="D45" s="162">
        <f ca="1">ROUND(H101*F45,0)</f>
        <v>90613</v>
      </c>
      <c r="E45" s="163" t="s">
        <v>2190</v>
      </c>
      <c r="F45" s="164">
        <v>1</v>
      </c>
      <c r="G45" s="165" t="s">
        <v>2191</v>
      </c>
      <c r="H45" s="135"/>
      <c r="I45" s="135"/>
      <c r="J45" s="3087" t="s">
        <v>2192</v>
      </c>
      <c r="K45" s="3087"/>
      <c r="L45" s="3087"/>
      <c r="M45" s="3087"/>
      <c r="N45" s="3087"/>
      <c r="O45" s="3087"/>
    </row>
    <row r="46" spans="1:15" ht="14.25" customHeight="1">
      <c r="A46" s="3165" t="s">
        <v>2193</v>
      </c>
      <c r="B46" s="3166"/>
      <c r="C46" s="3166"/>
      <c r="D46" s="3166"/>
      <c r="E46" s="3166"/>
      <c r="F46" s="3166"/>
      <c r="G46" s="3167"/>
      <c r="H46" s="2473"/>
      <c r="I46" s="166"/>
      <c r="J46" s="1806">
        <v>1</v>
      </c>
      <c r="K46" s="3087" t="s">
        <v>2194</v>
      </c>
      <c r="L46" s="3087"/>
      <c r="M46" s="3088"/>
      <c r="N46" s="3088"/>
      <c r="O46" s="3088"/>
    </row>
    <row r="47" spans="1:15" ht="12" customHeight="1">
      <c r="A47" s="167" t="s">
        <v>2195</v>
      </c>
      <c r="B47" s="168"/>
      <c r="C47" s="169"/>
      <c r="D47" s="170" t="s">
        <v>2196</v>
      </c>
      <c r="E47" s="24" t="s">
        <v>2197</v>
      </c>
      <c r="F47" s="171" t="s">
        <v>2198</v>
      </c>
      <c r="G47" s="172" t="s">
        <v>2199</v>
      </c>
      <c r="H47" s="2473"/>
      <c r="I47" s="166"/>
      <c r="J47" s="1806">
        <v>2</v>
      </c>
      <c r="K47" s="3087" t="s">
        <v>2200</v>
      </c>
      <c r="L47" s="3087"/>
      <c r="M47" s="3089">
        <f>'数据-取费表'!B2</f>
        <v>43056</v>
      </c>
      <c r="N47" s="3089"/>
      <c r="O47" s="3089"/>
    </row>
    <row r="48" spans="1:15" ht="25.5">
      <c r="A48" s="3155" t="s">
        <v>2201</v>
      </c>
      <c r="B48" s="3156"/>
      <c r="C48" s="3156"/>
      <c r="D48" s="137">
        <f>IF(H48="情况1",0,IF(H48="情况2",D52,IF(H48="情况3",D53,IF(H48="情况4",D54))))</f>
        <v>0</v>
      </c>
      <c r="E48" s="1795" t="str">
        <f>IF(H48="情况4","(销售额-原购置价)×税（费）率","销售额×税（费）率")</f>
        <v>销售额×税（费）率</v>
      </c>
      <c r="F48" s="173" t="str">
        <f>IF(H48="情况1","免征",'数据-取费表'!B41)</f>
        <v>免征</v>
      </c>
      <c r="G48" s="2474" t="s">
        <v>2202</v>
      </c>
      <c r="H48" s="2475" t="s">
        <v>2203</v>
      </c>
      <c r="I48" s="2473"/>
      <c r="J48" s="1806">
        <v>3</v>
      </c>
      <c r="K48" s="3087" t="s">
        <v>2204</v>
      </c>
      <c r="L48" s="3087"/>
      <c r="M48" s="3090">
        <f ca="1">H101</f>
        <v>90613</v>
      </c>
      <c r="N48" s="3090"/>
      <c r="O48" s="3090"/>
    </row>
    <row r="49" spans="1:35" ht="25.5" customHeight="1">
      <c r="A49" s="174" t="s">
        <v>2205</v>
      </c>
      <c r="B49" s="3135" t="s">
        <v>2206</v>
      </c>
      <c r="C49" s="3135"/>
      <c r="D49" s="175">
        <v>0</v>
      </c>
      <c r="E49" s="23" t="s">
        <v>2207</v>
      </c>
      <c r="F49" s="28" t="s">
        <v>34</v>
      </c>
      <c r="G49" s="3116"/>
      <c r="H49" s="135"/>
      <c r="I49" s="2476"/>
      <c r="J49" s="1806">
        <v>4</v>
      </c>
      <c r="K49" s="3087" t="str">
        <f>IF(项目基本情况!E8="房地产抵押价值","房地产抵押价值","抵押担保权已注销时的房地产抵押价值")</f>
        <v>抵押担保权已注销时的房地产抵押价值</v>
      </c>
      <c r="L49" s="3087"/>
      <c r="M49" s="3090">
        <f ca="1">IF(项目基本情况!E8="房地产抵押价值",H107,H109)</f>
        <v>90613</v>
      </c>
      <c r="N49" s="3090"/>
      <c r="O49" s="3090"/>
    </row>
    <row r="50" spans="1:35" ht="25.5" customHeight="1">
      <c r="A50" s="176"/>
      <c r="B50" s="3135" t="s">
        <v>2208</v>
      </c>
      <c r="C50" s="3135"/>
      <c r="D50" s="177"/>
      <c r="E50" s="31"/>
      <c r="F50" s="178"/>
      <c r="G50" s="3117"/>
      <c r="H50" s="135"/>
      <c r="I50" s="2476"/>
      <c r="J50" s="3087" t="s">
        <v>2209</v>
      </c>
      <c r="K50" s="3087"/>
      <c r="L50" s="3087"/>
      <c r="M50" s="3087"/>
      <c r="N50" s="3087"/>
      <c r="O50" s="3087"/>
    </row>
    <row r="51" spans="1:35" ht="12" customHeight="1">
      <c r="A51" s="179"/>
      <c r="B51" s="3135" t="s">
        <v>2210</v>
      </c>
      <c r="C51" s="3135"/>
      <c r="D51" s="180"/>
      <c r="E51" s="30"/>
      <c r="F51" s="178"/>
      <c r="G51" s="3118"/>
      <c r="H51" s="135"/>
      <c r="I51" s="2476"/>
      <c r="J51" s="2477" t="s">
        <v>2211</v>
      </c>
      <c r="K51" s="3087" t="s">
        <v>2212</v>
      </c>
      <c r="L51" s="3087"/>
      <c r="M51" s="2477" t="s">
        <v>2213</v>
      </c>
      <c r="N51" s="2477" t="s">
        <v>2214</v>
      </c>
      <c r="O51" s="2477" t="s">
        <v>2215</v>
      </c>
    </row>
    <row r="52" spans="1:35" ht="24" customHeight="1">
      <c r="A52" s="181" t="s">
        <v>2216</v>
      </c>
      <c r="B52" s="3135" t="s">
        <v>2217</v>
      </c>
      <c r="C52" s="3135"/>
      <c r="D52" s="180">
        <f ca="1">ROUND(D45*'数据-取费表'!B41/(1+'数据-取费表'!C42),0)</f>
        <v>4833</v>
      </c>
      <c r="E52" s="11" t="s">
        <v>2218</v>
      </c>
      <c r="F52" s="182">
        <f>'数据-取费表'!B41</f>
        <v>5.6000000000000001E-2</v>
      </c>
      <c r="G52" s="2478"/>
      <c r="H52" s="135"/>
      <c r="I52" s="2476"/>
      <c r="J52" s="1806">
        <v>1</v>
      </c>
      <c r="K52" s="3110" t="s">
        <v>2219</v>
      </c>
      <c r="L52" s="3110"/>
      <c r="M52" s="1748">
        <f>D48</f>
        <v>0</v>
      </c>
      <c r="N52" s="1806" t="str">
        <f>E48</f>
        <v>销售额×税（费）率</v>
      </c>
      <c r="O52" s="1749" t="str">
        <f>F48</f>
        <v>免征</v>
      </c>
    </row>
    <row r="53" spans="1:35" ht="12" customHeight="1">
      <c r="A53" s="181" t="s">
        <v>2220</v>
      </c>
      <c r="B53" s="3136" t="s">
        <v>2221</v>
      </c>
      <c r="C53" s="3137"/>
      <c r="D53" s="180">
        <f ca="1">ROUND(D45*'数据-取费表'!B41/(1+'数据-取费表'!C42),0)</f>
        <v>4833</v>
      </c>
      <c r="E53" s="11" t="s">
        <v>2218</v>
      </c>
      <c r="F53" s="182">
        <f>'数据-取费表'!B41</f>
        <v>5.6000000000000001E-2</v>
      </c>
      <c r="G53" s="2478"/>
      <c r="H53" s="135"/>
      <c r="I53" s="2476"/>
      <c r="J53" s="1806">
        <v>2</v>
      </c>
      <c r="K53" s="3110" t="s">
        <v>2222</v>
      </c>
      <c r="L53" s="3110"/>
      <c r="M53" s="1748">
        <f t="shared" ref="M53:O54" ca="1" si="0">D55</f>
        <v>45</v>
      </c>
      <c r="N53" s="1806" t="str">
        <f t="shared" si="0"/>
        <v>销售额×税（费）率</v>
      </c>
      <c r="O53" s="1749">
        <f t="shared" si="0"/>
        <v>5.0000000000000001E-4</v>
      </c>
    </row>
    <row r="54" spans="1:35" ht="12" customHeight="1">
      <c r="A54" s="181" t="s">
        <v>2223</v>
      </c>
      <c r="B54" s="3136" t="s">
        <v>2224</v>
      </c>
      <c r="C54" s="3137"/>
      <c r="D54" s="180">
        <f ca="1">C68</f>
        <v>4833</v>
      </c>
      <c r="E54" s="30" t="s">
        <v>2225</v>
      </c>
      <c r="F54" s="182">
        <f>'数据-取费表'!B41</f>
        <v>5.6000000000000001E-2</v>
      </c>
      <c r="G54" s="2478"/>
      <c r="H54" s="2479"/>
      <c r="I54" s="2476"/>
      <c r="J54" s="1806">
        <v>3</v>
      </c>
      <c r="K54" s="3110" t="s">
        <v>2226</v>
      </c>
      <c r="L54" s="3110"/>
      <c r="M54" s="1748">
        <f t="shared" ca="1" si="0"/>
        <v>51287</v>
      </c>
      <c r="N54" s="1806" t="str">
        <f t="shared" si="0"/>
        <v>增值额×税（费）率</v>
      </c>
      <c r="O54" s="1750" t="str">
        <f t="shared" si="0"/>
        <v>——</v>
      </c>
    </row>
    <row r="55" spans="1:35" ht="24" customHeight="1">
      <c r="A55" s="3174" t="s">
        <v>2227</v>
      </c>
      <c r="B55" s="3156"/>
      <c r="C55" s="3156"/>
      <c r="D55" s="183">
        <f ca="1">IF(H55="个人住宅",0,ROUND(D45*I55,0))</f>
        <v>45</v>
      </c>
      <c r="E55" s="11" t="s">
        <v>2228</v>
      </c>
      <c r="F55" s="182">
        <f>IF(H55="正常",I55,"免征")</f>
        <v>5.0000000000000001E-4</v>
      </c>
      <c r="G55" s="2478"/>
      <c r="H55" s="2475" t="s">
        <v>2229</v>
      </c>
      <c r="I55" s="184">
        <f>'数据-取费表'!B49</f>
        <v>5.0000000000000001E-4</v>
      </c>
      <c r="J55" s="1806" t="str">
        <f>IF(H59="非个人房产","",4)</f>
        <v/>
      </c>
      <c r="K55" s="3110" t="str">
        <f>IF(H59="非个人房产","——","个人所得税")</f>
        <v>——</v>
      </c>
      <c r="L55" s="3110"/>
      <c r="M55" s="1751" t="str">
        <f>D59</f>
        <v>——</v>
      </c>
      <c r="N55" s="1804" t="str">
        <f>E59</f>
        <v>——</v>
      </c>
      <c r="O55" s="1752" t="str">
        <f>F59</f>
        <v>——</v>
      </c>
    </row>
    <row r="56" spans="1:35" ht="24.75">
      <c r="A56" s="3174" t="s">
        <v>2230</v>
      </c>
      <c r="B56" s="3156"/>
      <c r="C56" s="3156"/>
      <c r="D56" s="183">
        <f ca="1">IF(H56="个人住宅",D57,D58)</f>
        <v>51287</v>
      </c>
      <c r="E56" s="11" t="s">
        <v>2231</v>
      </c>
      <c r="F56" s="182" t="str">
        <f>IF(H56="正常",F58,"免征")</f>
        <v>——</v>
      </c>
      <c r="G56" s="2480" t="s">
        <v>2232</v>
      </c>
      <c r="H56" s="2481" t="s">
        <v>2229</v>
      </c>
      <c r="I56" s="2482"/>
      <c r="J56" s="1806" t="str">
        <f>IF(项目基本情况!K6="上海银行",IF(J55="",4,J55+1),"")</f>
        <v/>
      </c>
      <c r="K56" s="3093" t="str">
        <f>IF(项目基本情况!K6="上海银行","其他处置费用","")</f>
        <v/>
      </c>
      <c r="L56" s="3094"/>
      <c r="M56" s="1748" t="str">
        <f>IF(项目基本情况!K6="上海银行",M69,"")</f>
        <v/>
      </c>
      <c r="N56" s="3096" t="str">
        <f>IF(项目基本情况!K6="上海银行","包含处置中涉及的律师、诉讼、拍卖、评估等费用","")</f>
        <v/>
      </c>
      <c r="O56" s="3097"/>
    </row>
    <row r="57" spans="1:35" ht="12.75">
      <c r="A57" s="181" t="s">
        <v>2205</v>
      </c>
      <c r="B57" s="3141" t="s">
        <v>2233</v>
      </c>
      <c r="C57" s="3142"/>
      <c r="D57" s="185">
        <v>0</v>
      </c>
      <c r="E57" s="23" t="s">
        <v>2207</v>
      </c>
      <c r="F57" s="153"/>
      <c r="G57" s="2478"/>
      <c r="H57" s="2482"/>
      <c r="I57" s="2482"/>
      <c r="J57" s="3110">
        <f>IF(AND(J55="",J56=""),4,IF(项目基本情况!K6="上海银行",结果表!J56+1,结果表!J55+1))</f>
        <v>4</v>
      </c>
      <c r="K57" s="3110" t="s">
        <v>2234</v>
      </c>
      <c r="L57" s="2483" t="s">
        <v>2235</v>
      </c>
      <c r="M57" s="1753"/>
      <c r="N57" s="1754">
        <f ca="1">SUMIF(M52:M56,"&lt;9e307")</f>
        <v>51332</v>
      </c>
      <c r="O57" s="2484"/>
      <c r="P57" s="1747">
        <f ca="1">N57/M49</f>
        <v>0.5664970809927935</v>
      </c>
    </row>
    <row r="58" spans="1:35" ht="24.75">
      <c r="A58" s="181" t="s">
        <v>2216</v>
      </c>
      <c r="B58" s="3141" t="s">
        <v>2236</v>
      </c>
      <c r="C58" s="3154"/>
      <c r="D58" s="183">
        <f ca="1">IF(H58="转让取得",C81,C97)</f>
        <v>51287</v>
      </c>
      <c r="E58" s="11" t="s">
        <v>2231</v>
      </c>
      <c r="F58" s="24" t="s">
        <v>34</v>
      </c>
      <c r="G58" s="2478"/>
      <c r="H58" s="2481" t="s">
        <v>2237</v>
      </c>
      <c r="I58" s="2482"/>
      <c r="J58" s="3110"/>
      <c r="K58" s="3110"/>
      <c r="L58" s="2483" t="s">
        <v>2238</v>
      </c>
      <c r="M58" s="1755"/>
      <c r="N58" s="2485" t="str">
        <f ca="1">NUMBERSTRING(INT(N57*10000),2)&amp;"元整"</f>
        <v>伍亿壹仟叁佰叁拾贰万元整</v>
      </c>
      <c r="O58" s="2486"/>
    </row>
    <row r="59" spans="1:35" ht="24.75" thickBot="1">
      <c r="A59" s="3114" t="s">
        <v>2239</v>
      </c>
      <c r="B59" s="3115"/>
      <c r="C59" s="3115"/>
      <c r="D59" s="186" t="str">
        <f>IF(H59="非个人房产","——",IF(H59="个人住宅",0,ROUND(D45*I59,0)))</f>
        <v>——</v>
      </c>
      <c r="E59" s="187" t="str">
        <f>IF(H59="非个人房产","——","销售额×税（费）率")</f>
        <v>——</v>
      </c>
      <c r="F59" s="188" t="str">
        <f>IF(H59="非个人房产","——",IF(H59="个人住宅","免征",I59))</f>
        <v>——</v>
      </c>
      <c r="G59" s="2487" t="s">
        <v>2232</v>
      </c>
      <c r="H59" s="2481" t="s">
        <v>2240</v>
      </c>
      <c r="I59" s="189">
        <v>0.01</v>
      </c>
      <c r="J59" s="3112">
        <f>J57+1</f>
        <v>5</v>
      </c>
      <c r="K59" s="3110" t="s">
        <v>2241</v>
      </c>
      <c r="L59" s="1806" t="s">
        <v>2235</v>
      </c>
      <c r="M59" s="1756"/>
      <c r="N59" s="1757">
        <f ca="1">M49-N57</f>
        <v>39281</v>
      </c>
      <c r="O59" s="2488"/>
    </row>
    <row r="60" spans="1:35" ht="12" customHeight="1">
      <c r="A60" s="2489"/>
      <c r="B60" s="2411"/>
      <c r="C60" s="2411"/>
      <c r="D60" s="2411"/>
      <c r="E60" s="2159"/>
      <c r="F60" s="2482"/>
      <c r="G60" s="2482"/>
      <c r="H60" s="2490"/>
      <c r="I60" s="135"/>
      <c r="J60" s="3113"/>
      <c r="K60" s="3110"/>
      <c r="L60" s="2483" t="s">
        <v>2238</v>
      </c>
      <c r="M60" s="1755"/>
      <c r="N60" s="2485" t="str">
        <f ca="1">NUMBERSTRING(INT(N59*10000),2)&amp;"元整"</f>
        <v>叁亿玖仟贰佰捌拾壹万元整</v>
      </c>
      <c r="O60" s="2486"/>
    </row>
    <row r="61" spans="1:35" ht="13.5" thickBot="1">
      <c r="A61" s="3173" t="s">
        <v>2242</v>
      </c>
      <c r="B61" s="3173"/>
      <c r="C61" s="3173"/>
      <c r="D61" s="3173"/>
      <c r="E61" s="3173"/>
      <c r="F61" s="2482"/>
      <c r="G61" s="2482"/>
      <c r="H61" s="2490"/>
      <c r="I61" s="135"/>
      <c r="J61" s="1806">
        <f>J59+1</f>
        <v>6</v>
      </c>
      <c r="K61" s="3110" t="s">
        <v>2243</v>
      </c>
      <c r="L61" s="3110"/>
      <c r="M61" s="1758"/>
      <c r="N61" s="1759">
        <f ca="1">ROUND(N59*10000/'数据-汇总表'!E3,0)</f>
        <v>5834</v>
      </c>
      <c r="O61" s="2491"/>
    </row>
    <row r="62" spans="1:35" ht="12.75">
      <c r="A62" s="3130" t="s">
        <v>2244</v>
      </c>
      <c r="B62" s="3131"/>
      <c r="C62" s="1798"/>
      <c r="D62" s="1798" t="s">
        <v>2245</v>
      </c>
      <c r="E62" s="190" t="s">
        <v>2246</v>
      </c>
      <c r="F62" s="2482"/>
      <c r="G62" s="2482"/>
      <c r="H62" s="2490"/>
      <c r="I62" s="135"/>
    </row>
    <row r="63" spans="1:35" ht="12.75">
      <c r="A63" s="201" t="s">
        <v>775</v>
      </c>
      <c r="B63" s="191" t="s">
        <v>2247</v>
      </c>
      <c r="C63" s="192">
        <f ca="1">ROUND((C64+C65)/(1+'数据-取费表'!C42),0)</f>
        <v>86298</v>
      </c>
      <c r="D63" s="193"/>
      <c r="E63" s="194"/>
      <c r="F63" s="2482"/>
      <c r="G63" s="2482"/>
      <c r="H63" s="2490"/>
      <c r="I63" s="135"/>
      <c r="J63" s="3095" t="s">
        <v>2248</v>
      </c>
      <c r="K63" s="2492" t="s">
        <v>2249</v>
      </c>
      <c r="L63" s="1746">
        <f ca="1">IF(M49&gt;10000,M49*0.5%,IF(AND(M49&gt;1000,M49&lt;=10000),M49*1%,IF(AND(M49&gt;100,M49&lt;=1000),M49*3%,IF(AND(M49&gt;10,M49&lt;=100),M49*5%,M49*8%))))</f>
        <v>453.065</v>
      </c>
      <c r="M63" s="24">
        <f ca="1">ROUND(L63,1)</f>
        <v>453.1</v>
      </c>
      <c r="Z63" s="2416"/>
      <c r="AI63" s="2417"/>
    </row>
    <row r="64" spans="1:35" ht="14.25" customHeight="1">
      <c r="A64" s="195" t="s">
        <v>770</v>
      </c>
      <c r="B64" s="196" t="s">
        <v>2250</v>
      </c>
      <c r="C64" s="197">
        <f ca="1">D45</f>
        <v>90613</v>
      </c>
      <c r="D64" s="198" t="s">
        <v>32</v>
      </c>
      <c r="E64" s="199"/>
      <c r="F64" s="2482"/>
      <c r="G64" s="2482"/>
      <c r="H64" s="2490"/>
      <c r="I64" s="135"/>
      <c r="J64" s="3095"/>
      <c r="K64" s="2492" t="s">
        <v>2251</v>
      </c>
      <c r="L64" s="1746">
        <f ca="1">IF(M49&gt;2000,M49*0.5%,IF(AND(M49&gt;1000,M49&lt;=2000),M49*0.6%,IF(AND(M49&gt;500,M49&lt;=1000),M49*0.7%,IF(AND(M49&gt;200,M49&lt;=500),M49*0.8%,IF(AND(M49&gt;100,M49&lt;=200),M49*0.9%,IF(AND(M49&gt;50,M49&lt;=100),M49*1%,IF(AND(M49&gt;20,M49&lt;=50),M49*1.5%,IF(AND(M49&gt;10,M49&lt;=20),M49*2%,IF(AND(M49&gt;1,M49&lt;=10),M49*2.5%)))))))))</f>
        <v>453.065</v>
      </c>
      <c r="M64" s="24">
        <f t="shared" ref="M64:M65" ca="1" si="1">ROUND(L64,1)</f>
        <v>453.1</v>
      </c>
      <c r="N64" s="135" t="s">
        <v>2252</v>
      </c>
      <c r="Z64" s="2416"/>
      <c r="AI64" s="2417"/>
    </row>
    <row r="65" spans="1:35" ht="14.25" customHeight="1">
      <c r="A65" s="195" t="s">
        <v>771</v>
      </c>
      <c r="B65" s="196" t="s">
        <v>2253</v>
      </c>
      <c r="C65" s="200"/>
      <c r="D65" s="198"/>
      <c r="E65" s="199"/>
      <c r="F65" s="2482"/>
      <c r="G65" s="2482"/>
      <c r="H65" s="2490"/>
      <c r="I65" s="135"/>
      <c r="J65" s="3095"/>
      <c r="K65" s="2492" t="s">
        <v>2254</v>
      </c>
      <c r="L65" s="1746">
        <f ca="1">IF(M49&gt;1000,M49*0.1%,IF(AND(M49&gt;500,M49&lt;=1000),M49*0.5%,IF(AND(M49&gt;50,M49&lt;=500),M49*1%,IF(AND(M49&gt;1,M49&lt;=50),M49*1.5%))))</f>
        <v>90.613</v>
      </c>
      <c r="M65" s="24">
        <f t="shared" ca="1" si="1"/>
        <v>90.6</v>
      </c>
      <c r="N65" s="135" t="s">
        <v>2252</v>
      </c>
      <c r="Z65" s="2416"/>
      <c r="AI65" s="2417"/>
    </row>
    <row r="66" spans="1:35" ht="14.25" customHeight="1">
      <c r="A66" s="201" t="s">
        <v>772</v>
      </c>
      <c r="B66" s="202" t="s">
        <v>2255</v>
      </c>
      <c r="C66" s="203"/>
      <c r="D66" s="204" t="s">
        <v>32</v>
      </c>
      <c r="E66" s="1770" t="s">
        <v>1372</v>
      </c>
      <c r="F66" s="2482"/>
      <c r="G66" s="2482"/>
      <c r="H66" s="2490"/>
      <c r="I66" s="135"/>
      <c r="J66" s="3095"/>
      <c r="K66" s="2492" t="s">
        <v>2256</v>
      </c>
      <c r="L66" s="1746">
        <f ca="1">M49*0.5%</f>
        <v>453.065</v>
      </c>
      <c r="M66" s="24">
        <f ca="1">IF(L66&gt;0.5,0.5,ROUND(L66,0))</f>
        <v>0.5</v>
      </c>
      <c r="N66" s="135" t="s">
        <v>2257</v>
      </c>
      <c r="Z66" s="2416"/>
      <c r="AI66" s="2417"/>
    </row>
    <row r="67" spans="1:35" ht="14.25" customHeight="1">
      <c r="A67" s="201" t="s">
        <v>773</v>
      </c>
      <c r="B67" s="202" t="s">
        <v>2258</v>
      </c>
      <c r="C67" s="205">
        <f ca="1">C63-C66</f>
        <v>86298</v>
      </c>
      <c r="D67" s="198" t="s">
        <v>32</v>
      </c>
      <c r="E67" s="199"/>
      <c r="F67" s="2482"/>
      <c r="G67" s="2482"/>
      <c r="H67" s="2490"/>
      <c r="I67" s="135"/>
      <c r="J67" s="3095"/>
      <c r="K67" s="2492" t="s">
        <v>2259</v>
      </c>
      <c r="L67" s="1746">
        <f ca="1">IF(M49&gt;=10000,(8.25+(M49-10000)*0.01%),IF(AND(M49&gt;=8000,M49&lt;10000),(7.85+(M49-8000)*0.02%),IF(AND(M49&gt;=5000,M49&lt;8000),(6.65+(M49-5000)*0.04%),IF(AND(M49&gt;=2000,M49&lt;5000),(4.25+(PM49-2000)*0.08%),IF(AND(M49&gt;=1000,M49&lt;2000),(2.75+(M49-1000)*0.15%),IF(AND(M49&gt;=100,M49&lt;1000),(0.5+(M49-100)*0.25%),IF(AND(M49&gt;0,M49&lt;100),M49*0.5%)))))))</f>
        <v>16.311300000000003</v>
      </c>
      <c r="M67" s="24">
        <f ca="1">ROUND(L67*0.9,1)</f>
        <v>14.7</v>
      </c>
      <c r="Z67" s="2416"/>
      <c r="AI67" s="2417"/>
    </row>
    <row r="68" spans="1:35" ht="14.25" customHeight="1" thickBot="1">
      <c r="A68" s="206" t="s">
        <v>774</v>
      </c>
      <c r="B68" s="207" t="s">
        <v>2260</v>
      </c>
      <c r="C68" s="208">
        <f ca="1">IF(C67&lt;=0,0,ROUND(C67*D68,0))</f>
        <v>4833</v>
      </c>
      <c r="D68" s="209">
        <f>'数据-取费表'!B41</f>
        <v>5.6000000000000001E-2</v>
      </c>
      <c r="E68" s="210"/>
      <c r="F68" s="2482"/>
      <c r="G68" s="2482"/>
      <c r="H68" s="2490"/>
      <c r="I68" s="135"/>
      <c r="J68" s="3095"/>
      <c r="K68" s="2492" t="s">
        <v>2261</v>
      </c>
      <c r="L68" s="1746">
        <f ca="1">IF(M49&gt;10000,M49*0.5%,IF(AND(M49&gt;5000,M49&lt;=10000),M49*1%,IF(AND(M49&gt;1000,M49&lt;=5000),M49*2%,IF(AND(M49&gt;200,M49&lt;=1000),M49*3%,M49*5%))))</f>
        <v>453.065</v>
      </c>
      <c r="M68" s="24">
        <f ca="1">ROUND(L68,1)</f>
        <v>453.1</v>
      </c>
      <c r="Z68" s="2416"/>
      <c r="AI68" s="2417"/>
    </row>
    <row r="69" spans="1:35" s="2439" customFormat="1" ht="16.5" customHeight="1">
      <c r="A69" s="2493"/>
      <c r="B69" s="2494"/>
      <c r="C69" s="2495"/>
      <c r="D69" s="2496"/>
      <c r="E69" s="2497"/>
      <c r="F69" s="2159"/>
      <c r="G69" s="2159"/>
      <c r="H69" s="2158"/>
      <c r="I69" s="2411"/>
      <c r="J69" s="3095"/>
      <c r="K69" s="2492" t="s">
        <v>2262</v>
      </c>
      <c r="L69" s="2498"/>
      <c r="M69" s="24">
        <f ca="1">ROUND(SUM(M63:M68),0)</f>
        <v>1465</v>
      </c>
      <c r="N69" s="1747">
        <f ca="1">M69/M49</f>
        <v>1.6167658062308941E-2</v>
      </c>
      <c r="O69" s="792"/>
      <c r="P69" s="792"/>
      <c r="Q69" s="792"/>
      <c r="R69" s="792"/>
      <c r="S69" s="792"/>
      <c r="T69" s="792"/>
      <c r="U69" s="792"/>
      <c r="V69" s="792"/>
      <c r="W69" s="792"/>
      <c r="X69" s="792"/>
      <c r="Y69" s="792"/>
      <c r="Z69" s="2416"/>
      <c r="AA69" s="2416"/>
      <c r="AB69" s="2416"/>
      <c r="AC69" s="2416"/>
      <c r="AD69" s="2416"/>
      <c r="AE69" s="2416"/>
      <c r="AF69" s="2416"/>
      <c r="AG69" s="2416"/>
      <c r="AH69" s="2416"/>
    </row>
    <row r="70" spans="1:35" s="2500" customFormat="1" ht="15" thickBot="1">
      <c r="A70" s="3139" t="s">
        <v>2263</v>
      </c>
      <c r="B70" s="3140"/>
      <c r="C70" s="3140"/>
      <c r="D70" s="3140"/>
      <c r="E70" s="3140"/>
      <c r="F70" s="3140"/>
      <c r="G70" s="3140"/>
      <c r="H70" s="3140"/>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30" t="s">
        <v>2244</v>
      </c>
      <c r="B71" s="3131"/>
      <c r="C71" s="1798"/>
      <c r="D71" s="1798" t="s">
        <v>2245</v>
      </c>
      <c r="E71" s="211" t="s">
        <v>2246</v>
      </c>
      <c r="F71" s="212"/>
      <c r="G71" s="212"/>
      <c r="H71" s="213"/>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1" t="s">
        <v>775</v>
      </c>
      <c r="B72" s="202" t="s">
        <v>2264</v>
      </c>
      <c r="C72" s="205">
        <f ca="1">ROUND(D45/(1+'数据-取费表'!C42),0)</f>
        <v>86298</v>
      </c>
      <c r="D72" s="198" t="s">
        <v>32</v>
      </c>
      <c r="E72" s="1797"/>
      <c r="F72" s="1791"/>
      <c r="G72" s="1791"/>
      <c r="H72" s="214"/>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1" t="s">
        <v>772</v>
      </c>
      <c r="B73" s="171" t="s">
        <v>2265</v>
      </c>
      <c r="C73" s="205">
        <f ca="1">C74+C78</f>
        <v>518</v>
      </c>
      <c r="D73" s="198" t="s">
        <v>32</v>
      </c>
      <c r="E73" s="1797"/>
      <c r="F73" s="1791"/>
      <c r="G73" s="1791"/>
      <c r="H73" s="214"/>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5" t="s">
        <v>770</v>
      </c>
      <c r="B74" s="196" t="s">
        <v>2266</v>
      </c>
      <c r="C74" s="198">
        <f>ROUND(IF(G77="2016年5月1日后购买",C75/(1+'数据-取费表'!C42)+C76+C77,C75+C76+C77),0)</f>
        <v>0</v>
      </c>
      <c r="D74" s="198" t="s">
        <v>32</v>
      </c>
      <c r="E74" s="1797"/>
      <c r="F74" s="1791"/>
      <c r="G74" s="1791"/>
      <c r="H74" s="214"/>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5" t="s">
        <v>776</v>
      </c>
      <c r="B75" s="196" t="s">
        <v>2267</v>
      </c>
      <c r="C75" s="216"/>
      <c r="D75" s="198" t="s">
        <v>32</v>
      </c>
      <c r="E75" s="217" t="s">
        <v>2268</v>
      </c>
      <c r="F75" s="2504" t="s">
        <v>2269</v>
      </c>
      <c r="G75" s="217" t="s">
        <v>2270</v>
      </c>
      <c r="H75" s="218"/>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5" t="s">
        <v>777</v>
      </c>
      <c r="B76" s="219" t="s">
        <v>2271</v>
      </c>
      <c r="C76" s="198">
        <f>IF(F75="购房发票",ROUND(C75*H75*D76,0),0)</f>
        <v>0</v>
      </c>
      <c r="D76" s="220">
        <v>0.05</v>
      </c>
      <c r="E76" s="3136" t="s">
        <v>2272</v>
      </c>
      <c r="F76" s="3135"/>
      <c r="G76" s="3135"/>
      <c r="H76" s="3138"/>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5" t="s">
        <v>778</v>
      </c>
      <c r="B77" s="196" t="s">
        <v>2273</v>
      </c>
      <c r="C77" s="198">
        <f>ROUND(IF(G77="个人住宅",0,IF(G77="2016年5月1日前购买",C75*D77,C75*D77/(1+'数据-取费表'!C42))),0)</f>
        <v>0</v>
      </c>
      <c r="D77" s="221">
        <f>'数据-取费表'!B48+'数据-取费表'!B49</f>
        <v>4.0500000000000001E-2</v>
      </c>
      <c r="E77" s="15" t="s">
        <v>2274</v>
      </c>
      <c r="F77" s="222"/>
      <c r="G77" s="2506" t="s">
        <v>2275</v>
      </c>
      <c r="H77" s="1802"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5" t="s">
        <v>771</v>
      </c>
      <c r="B78" s="196" t="s">
        <v>2276</v>
      </c>
      <c r="C78" s="223">
        <f ca="1">ROUND(D45*D78/(1+'数据-取费表'!C42),0)</f>
        <v>518</v>
      </c>
      <c r="D78" s="224">
        <f>'数据-取费表'!B43</f>
        <v>6.000000000000001E-3</v>
      </c>
      <c r="E78" s="3127" t="s">
        <v>2277</v>
      </c>
      <c r="F78" s="3128"/>
      <c r="G78" s="3128"/>
      <c r="H78" s="3129"/>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2" t="s">
        <v>2278</v>
      </c>
      <c r="C79" s="205">
        <f ca="1">C72-C73</f>
        <v>85780</v>
      </c>
      <c r="D79" s="198" t="s">
        <v>32</v>
      </c>
      <c r="E79" s="1797"/>
      <c r="F79" s="1791"/>
      <c r="G79" s="1791"/>
      <c r="H79" s="214"/>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2" t="s">
        <v>2279</v>
      </c>
      <c r="C80" s="225">
        <f ca="1">IF(C79&lt;=0,0,C79/C73)</f>
        <v>165.59845559845559</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4"/>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7" t="s">
        <v>2280</v>
      </c>
      <c r="C81" s="226">
        <f ca="1">ROUND(IF(C79&lt;=0,0,IF(C80&gt;=200%,C79*60%-C73*35%,IF(C80&gt;=100%,C79*50%-C73*15%,IF(C80&gt;=50%,C79*40%-C73*5%,IF(C80&lt;50%,C79*30%,0))))),0)</f>
        <v>51287</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0"/>
      <c r="B82" s="731"/>
      <c r="C82" s="7"/>
      <c r="D82" s="7"/>
      <c r="E82" s="731"/>
      <c r="F82" s="731"/>
      <c r="G82" s="731"/>
      <c r="H82" s="732"/>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39" t="s">
        <v>2281</v>
      </c>
      <c r="B83" s="3140"/>
      <c r="C83" s="3140"/>
      <c r="D83" s="3140"/>
      <c r="E83" s="3140"/>
      <c r="F83" s="3140"/>
      <c r="G83" s="3140"/>
      <c r="H83" s="3140"/>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30" t="s">
        <v>2244</v>
      </c>
      <c r="B84" s="3131"/>
      <c r="C84" s="1798"/>
      <c r="D84" s="1798" t="s">
        <v>2245</v>
      </c>
      <c r="E84" s="211" t="s">
        <v>2246</v>
      </c>
      <c r="F84" s="212"/>
      <c r="G84" s="212"/>
      <c r="H84" s="231"/>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1" t="s">
        <v>775</v>
      </c>
      <c r="B85" s="202" t="s">
        <v>2264</v>
      </c>
      <c r="C85" s="205">
        <f ca="1">ROUND(D45/(1+'数据-取费表'!C42),0)</f>
        <v>86298</v>
      </c>
      <c r="D85" s="198" t="s">
        <v>32</v>
      </c>
      <c r="E85" s="1797"/>
      <c r="F85" s="1791"/>
      <c r="G85" s="1791"/>
      <c r="H85" s="232"/>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1" t="s">
        <v>772</v>
      </c>
      <c r="B86" s="171" t="s">
        <v>2265</v>
      </c>
      <c r="C86" s="205">
        <f ca="1">IF(H88="仅含出让金",C87+C90+C91+C92+C93+C94,C87+C91+C92+C93+C94)</f>
        <v>518</v>
      </c>
      <c r="D86" s="233"/>
      <c r="E86" s="1797"/>
      <c r="F86" s="1791"/>
      <c r="G86" s="1791"/>
      <c r="H86" s="232"/>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5" t="s">
        <v>770</v>
      </c>
      <c r="B87" s="196" t="s">
        <v>2282</v>
      </c>
      <c r="C87" s="223">
        <f>C88+C89</f>
        <v>0</v>
      </c>
      <c r="D87" s="224"/>
      <c r="E87" s="1793"/>
      <c r="F87" s="1794"/>
      <c r="G87" s="1794"/>
      <c r="H87" s="1796"/>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5" t="s">
        <v>776</v>
      </c>
      <c r="B88" s="196" t="s">
        <v>2283</v>
      </c>
      <c r="C88" s="234"/>
      <c r="D88" s="224"/>
      <c r="E88" s="235" t="s">
        <v>2284</v>
      </c>
      <c r="F88" s="1794"/>
      <c r="G88" s="236" t="s">
        <v>2285</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5" t="s">
        <v>777</v>
      </c>
      <c r="B89" s="196" t="s">
        <v>2273</v>
      </c>
      <c r="C89" s="223">
        <f>ROUND(C88*D89,0)</f>
        <v>0</v>
      </c>
      <c r="D89" s="224">
        <f>'数据-取费表'!B48+'数据-取费表'!B49</f>
        <v>4.0500000000000001E-2</v>
      </c>
      <c r="E89" s="235" t="s">
        <v>2286</v>
      </c>
      <c r="F89" s="1794"/>
      <c r="G89" s="1794"/>
      <c r="H89" s="1796"/>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5" t="s">
        <v>771</v>
      </c>
      <c r="B90" s="196" t="s">
        <v>2287</v>
      </c>
      <c r="C90" s="234"/>
      <c r="D90" s="224"/>
      <c r="E90" s="235" t="str">
        <f>IF(H88="-","土地取得成本中已包含该笔费用"," ")</f>
        <v xml:space="preserve"> </v>
      </c>
      <c r="F90" s="1794"/>
      <c r="G90" s="1794"/>
      <c r="H90" s="1796"/>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5" t="s">
        <v>2288</v>
      </c>
      <c r="B91" s="196" t="s">
        <v>2289</v>
      </c>
      <c r="C91" s="223">
        <f>IF(H91="——",成本法!C33,I91)</f>
        <v>0</v>
      </c>
      <c r="D91" s="224"/>
      <c r="E91" s="3127" t="s">
        <v>2290</v>
      </c>
      <c r="F91" s="3128"/>
      <c r="G91" s="3128"/>
      <c r="H91" s="2511" t="s">
        <v>2291</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5" t="s">
        <v>2292</v>
      </c>
      <c r="B92" s="196" t="s">
        <v>2293</v>
      </c>
      <c r="C92" s="223">
        <f>ROUND((C87+C90+C91)*D92,0)</f>
        <v>0</v>
      </c>
      <c r="D92" s="224">
        <v>0.1</v>
      </c>
      <c r="E92" s="3127" t="s">
        <v>2294</v>
      </c>
      <c r="F92" s="3128"/>
      <c r="G92" s="3128"/>
      <c r="H92" s="3129"/>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5" t="s">
        <v>2295</v>
      </c>
      <c r="B93" s="196" t="s">
        <v>2276</v>
      </c>
      <c r="C93" s="223">
        <f ca="1">ROUND(D45*D93/(1+'数据-取费表'!C42),0)</f>
        <v>518</v>
      </c>
      <c r="D93" s="224">
        <f>'数据-取费表'!B43</f>
        <v>6.000000000000001E-3</v>
      </c>
      <c r="E93" s="3127" t="s">
        <v>2277</v>
      </c>
      <c r="F93" s="3128"/>
      <c r="G93" s="3128"/>
      <c r="H93" s="3129"/>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5" t="s">
        <v>2296</v>
      </c>
      <c r="B94" s="196" t="s">
        <v>2297</v>
      </c>
      <c r="C94" s="234">
        <f>ROUND((C87+C90+C91)*D94,0)</f>
        <v>0</v>
      </c>
      <c r="D94" s="224">
        <v>0.2</v>
      </c>
      <c r="E94" s="3175" t="s">
        <v>2298</v>
      </c>
      <c r="F94" s="3176"/>
      <c r="G94" s="3176"/>
      <c r="H94" s="3177"/>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2" t="s">
        <v>2278</v>
      </c>
      <c r="C95" s="205">
        <f ca="1">ROUND(C85-C86,0)</f>
        <v>85780</v>
      </c>
      <c r="D95" s="198" t="s">
        <v>32</v>
      </c>
      <c r="E95" s="1797"/>
      <c r="F95" s="1791"/>
      <c r="G95" s="1791"/>
      <c r="H95" s="232"/>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2" t="s">
        <v>2279</v>
      </c>
      <c r="C96" s="225">
        <f ca="1">IF(C95&lt;=0,0,C95/C86)</f>
        <v>165.59845559845559</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2"/>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7" t="s">
        <v>2280</v>
      </c>
      <c r="C97" s="226">
        <f ca="1">ROUND(IF(C95&lt;=0,0,IF(C96&gt;=200%,C95*60%-C86*35%,IF(C96&gt;=100%,C95*50%-C86*15%,IF(C96&gt;=50%,C95*40%-C86*5%,IF(C96&lt;50%,C95*30%,0))))),0)</f>
        <v>51287</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9"/>
      <c r="F98" s="2159"/>
      <c r="G98" s="2159"/>
      <c r="H98" s="2158"/>
      <c r="I98" s="135"/>
    </row>
    <row r="99" spans="1:35" ht="21.75" customHeight="1" thickBot="1">
      <c r="A99" s="2467" t="s">
        <v>2299</v>
      </c>
      <c r="B99" s="2411"/>
      <c r="C99" s="2411"/>
      <c r="D99" s="2411"/>
      <c r="E99" s="2159"/>
      <c r="F99" s="2159"/>
      <c r="G99" s="2159"/>
      <c r="H99" s="2158"/>
      <c r="I99" s="135"/>
    </row>
    <row r="100" spans="1:35" ht="18.75" customHeight="1">
      <c r="A100" s="3079" t="s">
        <v>2300</v>
      </c>
      <c r="B100" s="3080"/>
      <c r="C100" s="3080"/>
      <c r="D100" s="3111"/>
      <c r="E100" s="3080" t="s">
        <v>2301</v>
      </c>
      <c r="F100" s="3080"/>
      <c r="G100" s="3080"/>
      <c r="H100" s="3111"/>
      <c r="I100" s="135"/>
    </row>
    <row r="101" spans="1:35" ht="18.75" customHeight="1">
      <c r="A101" s="3119" t="s">
        <v>2302</v>
      </c>
      <c r="B101" s="3120"/>
      <c r="C101" s="733" t="str">
        <f>C4</f>
        <v>成本法</v>
      </c>
      <c r="D101" s="734" t="str">
        <f>D4</f>
        <v>假设开发法</v>
      </c>
      <c r="E101" s="3091" t="s">
        <v>2303</v>
      </c>
      <c r="F101" s="3092"/>
      <c r="G101" s="2513" t="s">
        <v>2304</v>
      </c>
      <c r="H101" s="1043">
        <f ca="1">H118</f>
        <v>90613</v>
      </c>
      <c r="I101" s="135"/>
    </row>
    <row r="102" spans="1:35" ht="18.75" customHeight="1">
      <c r="A102" s="3121" t="s">
        <v>2305</v>
      </c>
      <c r="B102" s="2513" t="s">
        <v>2304</v>
      </c>
      <c r="C102" s="733">
        <f ca="1">C19</f>
        <v>97660</v>
      </c>
      <c r="D102" s="734">
        <f ca="1">D19</f>
        <v>83566</v>
      </c>
      <c r="E102" s="3091"/>
      <c r="F102" s="3092"/>
      <c r="G102" s="2513" t="s">
        <v>2306</v>
      </c>
      <c r="H102" s="369">
        <f ca="1">I118</f>
        <v>13458</v>
      </c>
      <c r="I102" s="135"/>
    </row>
    <row r="103" spans="1:35" ht="42.75" customHeight="1">
      <c r="A103" s="3121"/>
      <c r="B103" s="2513" t="s">
        <v>2306</v>
      </c>
      <c r="C103" s="735">
        <f ca="1">C20</f>
        <v>14505</v>
      </c>
      <c r="D103" s="736">
        <f ca="1">D20</f>
        <v>12411</v>
      </c>
      <c r="E103" s="3085" t="s">
        <v>3183</v>
      </c>
      <c r="F103" s="3086"/>
      <c r="G103" s="2514" t="s">
        <v>2307</v>
      </c>
      <c r="H103" s="1043">
        <f>IF(D36="正常操作",H104+H105+H106,H105+H106)</f>
        <v>0</v>
      </c>
      <c r="I103" s="135"/>
    </row>
    <row r="104" spans="1:35" ht="18.75" customHeight="1">
      <c r="A104" s="3121" t="s">
        <v>2308</v>
      </c>
      <c r="B104" s="2515" t="s">
        <v>2304</v>
      </c>
      <c r="C104" s="737">
        <f ca="1">H118</f>
        <v>90613</v>
      </c>
      <c r="D104" s="738"/>
      <c r="E104" s="2259" t="s">
        <v>2309</v>
      </c>
      <c r="F104" s="2251"/>
      <c r="G104" s="2514" t="s">
        <v>2307</v>
      </c>
      <c r="H104" s="1044">
        <f>IF(D36="同一抵押权人同一抵押物续贷",C36&amp;"（未扣减，详见特别提示）",C36)</f>
        <v>0</v>
      </c>
      <c r="I104" s="135"/>
    </row>
    <row r="105" spans="1:35" ht="18.75" customHeight="1" thickBot="1">
      <c r="A105" s="3133"/>
      <c r="B105" s="2516" t="s">
        <v>2306</v>
      </c>
      <c r="C105" s="739">
        <f ca="1">I118</f>
        <v>13458</v>
      </c>
      <c r="D105" s="740"/>
      <c r="E105" s="2259" t="s">
        <v>2310</v>
      </c>
      <c r="F105" s="2251"/>
      <c r="G105" s="2514" t="s">
        <v>2307</v>
      </c>
      <c r="H105" s="1044">
        <f>C37</f>
        <v>0</v>
      </c>
      <c r="I105" s="135"/>
    </row>
    <row r="106" spans="1:35" ht="18.75" customHeight="1">
      <c r="A106" s="2411" t="s">
        <v>2311</v>
      </c>
      <c r="B106" s="2411"/>
      <c r="C106" s="2411"/>
      <c r="D106" s="2411"/>
      <c r="E106" s="2517" t="s">
        <v>2312</v>
      </c>
      <c r="F106" s="2251"/>
      <c r="G106" s="2514" t="s">
        <v>2307</v>
      </c>
      <c r="H106" s="1044">
        <f>C38</f>
        <v>0</v>
      </c>
      <c r="I106" s="135"/>
    </row>
    <row r="107" spans="1:35" ht="18.75" customHeight="1">
      <c r="A107" s="135"/>
      <c r="B107" s="135"/>
      <c r="C107" s="135"/>
      <c r="D107" s="135"/>
      <c r="E107" s="3122" t="str">
        <f>IF(项目基本情况!E8="已注销","——","3.房地产抵押价值")</f>
        <v>——</v>
      </c>
      <c r="F107" s="3092"/>
      <c r="G107" s="2513" t="s">
        <v>2304</v>
      </c>
      <c r="H107" s="1043" t="str">
        <f>IF(E107="——","——",H101-H103)</f>
        <v>——</v>
      </c>
      <c r="I107" s="135"/>
    </row>
    <row r="108" spans="1:35" ht="18.75" customHeight="1">
      <c r="A108" s="135"/>
      <c r="B108" s="135"/>
      <c r="C108" s="135"/>
      <c r="D108" s="135"/>
      <c r="E108" s="3122"/>
      <c r="F108" s="3092"/>
      <c r="G108" s="2513" t="s">
        <v>2306</v>
      </c>
      <c r="H108" s="369" t="e">
        <f>ROUND(H107*10000/'数据-汇总表'!E3,0)</f>
        <v>#VALUE!</v>
      </c>
      <c r="I108" s="135"/>
    </row>
    <row r="109" spans="1:35" ht="18.75" customHeight="1">
      <c r="A109" s="135"/>
      <c r="B109" s="135"/>
      <c r="C109" s="135"/>
      <c r="D109" s="135"/>
      <c r="E109" s="3122" t="str">
        <f>IF(项目基本情况!E8="已注销及未注销","4.抵押担保权已注销时的房地产抵押价值",IF(项目基本情况!E8="已注销","3.抵押担保权已注销时的房地产抵押价值","——"))</f>
        <v>3.抵押担保权已注销时的房地产抵押价值</v>
      </c>
      <c r="F109" s="3092"/>
      <c r="G109" s="2513" t="s">
        <v>2304</v>
      </c>
      <c r="H109" s="346">
        <f ca="1">IF(E109="——","——",H101-H105-H106)</f>
        <v>90613</v>
      </c>
      <c r="I109" s="135"/>
    </row>
    <row r="110" spans="1:35" ht="18.75" customHeight="1">
      <c r="A110" s="135"/>
      <c r="B110" s="135"/>
      <c r="C110" s="135"/>
      <c r="D110" s="135"/>
      <c r="E110" s="3122"/>
      <c r="F110" s="3092"/>
      <c r="G110" s="2513" t="s">
        <v>2306</v>
      </c>
      <c r="H110" s="369">
        <f ca="1">IF(H109="——","——",ROUND(H109*10000/'数据-汇总表'!E3,0))</f>
        <v>13458</v>
      </c>
      <c r="I110" s="135"/>
    </row>
    <row r="111" spans="1:35" ht="18.75" customHeight="1">
      <c r="A111" s="135"/>
      <c r="B111" s="135"/>
      <c r="C111" s="135"/>
      <c r="D111" s="135"/>
      <c r="E111" s="3123" t="str">
        <f>IF(项目基本情况!E9="抵押净值",IF(OR(项目基本情况!E8="已注销",项目基本情况!E8="房地产抵押价值"),"4.抵押净值","5.抵押净值"),"——")</f>
        <v>——</v>
      </c>
      <c r="F111" s="3124"/>
      <c r="G111" s="2513" t="s">
        <v>2304</v>
      </c>
      <c r="H111" s="1043" t="str">
        <f>IF(E111="——","——",N59)</f>
        <v>——</v>
      </c>
      <c r="I111" s="135"/>
    </row>
    <row r="112" spans="1:35" ht="18.75" customHeight="1" thickBot="1">
      <c r="A112" s="135"/>
      <c r="B112" s="135"/>
      <c r="C112" s="135"/>
      <c r="D112" s="135"/>
      <c r="E112" s="3125"/>
      <c r="F112" s="3126"/>
      <c r="G112" s="2518" t="s">
        <v>2306</v>
      </c>
      <c r="H112" s="787" t="str">
        <f>IF(E111="——","——",N61)</f>
        <v>——</v>
      </c>
      <c r="I112" s="135"/>
    </row>
    <row r="113" spans="1:11" ht="18.75" customHeight="1">
      <c r="A113" s="135"/>
      <c r="B113" s="135"/>
      <c r="C113" s="135"/>
      <c r="D113" s="135"/>
      <c r="E113" s="3134" t="s">
        <v>2311</v>
      </c>
      <c r="F113" s="3134"/>
      <c r="G113" s="3134"/>
      <c r="H113" s="3134"/>
      <c r="I113" s="135"/>
    </row>
    <row r="114" spans="1:11" ht="3.75" customHeight="1">
      <c r="A114" s="2411"/>
      <c r="B114" s="2411"/>
      <c r="C114" s="2411"/>
      <c r="D114" s="2411"/>
      <c r="E114" s="2489"/>
      <c r="F114" s="2489"/>
      <c r="G114" s="2489"/>
      <c r="H114" s="2489"/>
      <c r="I114" s="2411"/>
    </row>
    <row r="115" spans="1:11" ht="18.75" customHeight="1">
      <c r="A115" s="3147" t="s">
        <v>2313</v>
      </c>
      <c r="B115" s="3148"/>
      <c r="C115" s="3148"/>
      <c r="D115" s="3148"/>
      <c r="E115" s="3148"/>
      <c r="F115" s="3148"/>
      <c r="G115" s="3148"/>
      <c r="H115" s="3148"/>
      <c r="I115" s="3149"/>
    </row>
    <row r="116" spans="1:11" ht="27" customHeight="1">
      <c r="A116" s="3058" t="s">
        <v>2314</v>
      </c>
      <c r="B116" s="3101" t="s">
        <v>2315</v>
      </c>
      <c r="C116" s="3101" t="s">
        <v>2316</v>
      </c>
      <c r="D116" s="3107" t="s">
        <v>2317</v>
      </c>
      <c r="E116" s="3108"/>
      <c r="F116" s="3143" t="s">
        <v>2318</v>
      </c>
      <c r="G116" s="3143"/>
      <c r="H116" s="3058" t="s">
        <v>2319</v>
      </c>
      <c r="I116" s="3058"/>
    </row>
    <row r="117" spans="1:11" ht="18.75" customHeight="1">
      <c r="A117" s="3058"/>
      <c r="B117" s="3102"/>
      <c r="C117" s="3102"/>
      <c r="D117" s="1792" t="s">
        <v>2320</v>
      </c>
      <c r="E117" s="1792" t="s">
        <v>2321</v>
      </c>
      <c r="F117" s="1792" t="s">
        <v>2320</v>
      </c>
      <c r="G117" s="1792" t="s">
        <v>2322</v>
      </c>
      <c r="H117" s="1792" t="s">
        <v>2320</v>
      </c>
      <c r="I117" s="1792" t="s">
        <v>2322</v>
      </c>
    </row>
    <row r="118" spans="1:11" ht="24.75" customHeight="1">
      <c r="A118" s="2519" t="str">
        <f>项目基本情况!S2</f>
        <v>山东省济南市高新区凤凰路以西、旅游路以南出让国有建设用地使用权及在建建筑物房地产</v>
      </c>
      <c r="B118" s="1792">
        <f>M18</f>
        <v>67330.170000000013</v>
      </c>
      <c r="C118" s="1792">
        <f>M19</f>
        <v>21196.98</v>
      </c>
      <c r="D118" s="1792">
        <f ca="1">ROUND(IF(D32="总价",C34,E118*B118/10000),0)</f>
        <v>86898</v>
      </c>
      <c r="E118" s="1792">
        <f ca="1">ROUND(IF(C33="自定义",IF(D32="楼面单价",C34,D118*10000/B118),I118-G118),0)</f>
        <v>12906</v>
      </c>
      <c r="F118" s="1792">
        <f ca="1">ROUND(IF(D32="总价",C35,G118*B118/10000),0)</f>
        <v>3715</v>
      </c>
      <c r="G118" s="1792">
        <f ca="1">ROUND(IF(D32="楼面单价",C35,F118*10000/B118),0)</f>
        <v>552</v>
      </c>
      <c r="H118" s="1792">
        <f ca="1">ROUND(IF(D32="总价",C32,I118*B118/10000),0)</f>
        <v>90613</v>
      </c>
      <c r="I118" s="1792">
        <f ca="1">ROUND(IF(D32="楼面单价",C32,H118*10000/B118),0)</f>
        <v>13458</v>
      </c>
    </row>
    <row r="119" spans="1:11" ht="18.75" customHeight="1">
      <c r="A119" s="3058" t="s">
        <v>2323</v>
      </c>
      <c r="B119" s="3058"/>
      <c r="C119" s="3058"/>
      <c r="D119" s="3103" t="str">
        <f ca="1">NUMBERSTRING(INT(D118*10000),2)&amp;"元整"</f>
        <v>捌亿陆仟捌佰玖拾捌万元整</v>
      </c>
      <c r="E119" s="3104"/>
      <c r="F119" s="3103" t="str">
        <f ca="1">NUMBERSTRING(INT(F118*10000),2)&amp;"元整"</f>
        <v>叁仟柒佰壹拾伍万元整</v>
      </c>
      <c r="G119" s="3104"/>
      <c r="H119" s="3103" t="str">
        <f ca="1">NUMBERSTRING(INT(H118*10000),2)&amp;"元整"</f>
        <v>玖亿零陆佰壹拾叁万元整</v>
      </c>
      <c r="I119" s="3104"/>
    </row>
    <row r="120" spans="1:11" ht="18.75" customHeight="1">
      <c r="A120" s="3098" t="str">
        <f>IF(项目基本情况!B9="房地产市场价值","",MID(E103,3,LEN(E103)-2))</f>
        <v>估价师知悉的除抵押担保权以外的法定优先受偿款</v>
      </c>
      <c r="B120" s="3099"/>
      <c r="C120" s="3100"/>
      <c r="D120" s="3098">
        <f>H103</f>
        <v>0</v>
      </c>
      <c r="E120" s="3099"/>
      <c r="F120" s="3099"/>
      <c r="G120" s="3099"/>
      <c r="H120" s="3099"/>
      <c r="I120" s="3100"/>
      <c r="K120" s="2416" t="str">
        <f>IF(D120=0,"故，本次评估不存在"&amp;A120,"故，本次评估"&amp;A120&amp;"为人民币"&amp;D120&amp;"万元整。")</f>
        <v>故，本次评估不存在估价师知悉的除抵押担保权以外的法定优先受偿款</v>
      </c>
    </row>
    <row r="121" spans="1:11" ht="18.75" customHeight="1">
      <c r="A121" s="3144" t="s">
        <v>2323</v>
      </c>
      <c r="B121" s="3145"/>
      <c r="C121" s="3146"/>
      <c r="D121" s="3103" t="str">
        <f>IF(D120=0,"零元整",NUMBERSTRING(INT(D120*10000),2)&amp;"元整")</f>
        <v>零元整</v>
      </c>
      <c r="E121" s="3105"/>
      <c r="F121" s="3105"/>
      <c r="G121" s="3105"/>
      <c r="H121" s="3105"/>
      <c r="I121" s="3104"/>
    </row>
    <row r="122" spans="1:11" ht="18.75" customHeight="1">
      <c r="A122" s="3109" t="str">
        <f>IF(项目基本情况!B9="房地产市场价值","",MID(E107,3,LEN(E107)-2))</f>
        <v/>
      </c>
      <c r="B122" s="3109"/>
      <c r="C122" s="3109"/>
      <c r="D122" s="3098" t="str">
        <f>H107</f>
        <v>——</v>
      </c>
      <c r="E122" s="3099"/>
      <c r="F122" s="3099"/>
      <c r="G122" s="3099"/>
      <c r="H122" s="3099"/>
      <c r="I122" s="3100"/>
    </row>
    <row r="123" spans="1:11" ht="18.75" customHeight="1">
      <c r="A123" s="3058" t="s">
        <v>2323</v>
      </c>
      <c r="B123" s="3058"/>
      <c r="C123" s="3058"/>
      <c r="D123" s="3103" t="e">
        <f>NUMBERSTRING(INT(D122*10000),2)&amp;"元整"</f>
        <v>#VALUE!</v>
      </c>
      <c r="E123" s="3105"/>
      <c r="F123" s="3105"/>
      <c r="G123" s="3105"/>
      <c r="H123" s="3105"/>
      <c r="I123" s="3104"/>
    </row>
    <row r="124" spans="1:11" ht="18.75" customHeight="1">
      <c r="A124" s="3109" t="str">
        <f>IF(项目基本情况!B9="房地产市场价值","",MID(E109,3,LEN(E109)-2))</f>
        <v>抵押担保权已注销时的房地产抵押价值</v>
      </c>
      <c r="B124" s="3109"/>
      <c r="C124" s="3109"/>
      <c r="D124" s="3098">
        <f ca="1">H109</f>
        <v>90613</v>
      </c>
      <c r="E124" s="3099"/>
      <c r="F124" s="3099"/>
      <c r="G124" s="3099"/>
      <c r="H124" s="3099"/>
      <c r="I124" s="3100"/>
    </row>
    <row r="125" spans="1:11" ht="18.75" customHeight="1">
      <c r="A125" s="3058" t="s">
        <v>2323</v>
      </c>
      <c r="B125" s="3058"/>
      <c r="C125" s="3058"/>
      <c r="D125" s="3103" t="str">
        <f ca="1">NUMBERSTRING(INT(D124*10000),2)&amp;"元整"</f>
        <v>玖亿零陆佰壹拾叁万元整</v>
      </c>
      <c r="E125" s="3105"/>
      <c r="F125" s="3105"/>
      <c r="G125" s="3105"/>
      <c r="H125" s="3105"/>
      <c r="I125" s="3104"/>
    </row>
    <row r="126" spans="1:11" ht="18.75" customHeight="1">
      <c r="A126" s="3109" t="str">
        <f>IF(项目基本情况!B9="房地产市场价值","",MID(E111,3,LEN(E111)-2))</f>
        <v/>
      </c>
      <c r="B126" s="3109"/>
      <c r="C126" s="3109"/>
      <c r="D126" s="3098" t="str">
        <f>H111</f>
        <v>——</v>
      </c>
      <c r="E126" s="3099"/>
      <c r="F126" s="3099"/>
      <c r="G126" s="3099"/>
      <c r="H126" s="3099"/>
      <c r="I126" s="3100"/>
    </row>
    <row r="127" spans="1:11" ht="18.75" customHeight="1">
      <c r="A127" s="3058" t="s">
        <v>2323</v>
      </c>
      <c r="B127" s="3058"/>
      <c r="C127" s="3058"/>
      <c r="D127" s="3103" t="e">
        <f>NUMBERSTRING(INT(D126*10000),2)&amp;"元整"</f>
        <v>#VALUE!</v>
      </c>
      <c r="E127" s="3105"/>
      <c r="F127" s="3105"/>
      <c r="G127" s="3105"/>
      <c r="H127" s="3105"/>
      <c r="I127" s="3104"/>
    </row>
    <row r="128" spans="1:11" ht="21.75" customHeight="1">
      <c r="A128" s="3106" t="s">
        <v>2324</v>
      </c>
      <c r="B128" s="3106"/>
      <c r="C128" s="3106"/>
      <c r="D128" s="3106"/>
      <c r="E128" s="3106"/>
      <c r="F128" s="3106"/>
      <c r="G128" s="3106"/>
      <c r="H128" s="3106"/>
      <c r="I128" s="3106"/>
    </row>
    <row r="129" spans="1:35" ht="21.75" customHeight="1">
      <c r="A129" s="2520" t="s">
        <v>2325</v>
      </c>
      <c r="B129" s="2521"/>
      <c r="C129" s="2522" t="s">
        <v>2326</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2"/>
    </row>
    <row r="135" spans="1:35" ht="21.75" customHeight="1">
      <c r="A135" s="792"/>
      <c r="B135" s="792"/>
      <c r="C135" s="792"/>
      <c r="D135" s="792"/>
      <c r="E135" s="792"/>
      <c r="F135" s="2536" t="s">
        <v>2327</v>
      </c>
      <c r="G135" s="2537"/>
      <c r="H135" s="2537"/>
      <c r="I135" s="2538" t="s">
        <v>2328</v>
      </c>
    </row>
    <row r="136" spans="1:35" ht="21.75" customHeight="1">
      <c r="A136" s="792"/>
      <c r="B136" s="2539" t="s">
        <v>2329</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7"/>
      <c r="C138" s="2537"/>
      <c r="D138" s="2537"/>
      <c r="E138" s="2537"/>
      <c r="F138" s="2537"/>
      <c r="G138" s="2537"/>
      <c r="H138" s="2537"/>
      <c r="I138" s="2538" t="s">
        <v>2330</v>
      </c>
    </row>
    <row r="139" spans="1:35" ht="21.75" customHeight="1">
      <c r="A139" s="792"/>
      <c r="B139" s="2539" t="s">
        <v>2331</v>
      </c>
      <c r="C139" s="792"/>
      <c r="D139" s="792"/>
      <c r="E139" s="792"/>
      <c r="F139" s="792"/>
      <c r="G139" s="792"/>
      <c r="H139" s="792"/>
      <c r="I139" s="792"/>
    </row>
    <row r="140" spans="1:35" ht="21.75" customHeight="1">
      <c r="A140" s="792"/>
      <c r="B140" s="2539"/>
      <c r="C140" s="792"/>
      <c r="D140" s="792"/>
      <c r="E140" s="792"/>
      <c r="F140" s="792"/>
      <c r="G140" s="792"/>
      <c r="H140" s="792"/>
      <c r="I140" s="792"/>
    </row>
    <row r="141" spans="1:35" ht="21.75" customHeight="1">
      <c r="A141" s="792"/>
      <c r="B141" s="2537"/>
      <c r="C141" s="2537"/>
      <c r="D141" s="2537"/>
      <c r="E141" s="2537"/>
      <c r="F141" s="2537"/>
      <c r="G141" s="2537"/>
      <c r="H141" s="2537"/>
      <c r="I141" s="2538" t="s">
        <v>2330</v>
      </c>
    </row>
    <row r="142" spans="1:35" ht="21.75" customHeight="1">
      <c r="A142" s="792"/>
      <c r="B142" s="2539"/>
      <c r="C142" s="2540"/>
      <c r="D142" s="2541"/>
      <c r="E142" s="2541"/>
      <c r="F142" s="2333"/>
      <c r="G142" s="792"/>
      <c r="H142" s="792"/>
      <c r="I142" s="792"/>
    </row>
    <row r="143" spans="1:35" s="136" customFormat="1" ht="21.75" customHeight="1">
      <c r="A143" s="792"/>
      <c r="B143" s="2539"/>
      <c r="C143" s="2540"/>
      <c r="D143" s="2541"/>
      <c r="E143" s="2541"/>
      <c r="F143" s="2333"/>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6"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6"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6"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6"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6"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6"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6"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6"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6"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6"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6"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6"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6"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6"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6"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6"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6"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6"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6"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6"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6"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6"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6"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6"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6"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6"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6"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6"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6"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6"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6"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6"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6"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6"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6"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6"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6"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6"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6"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6"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6"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6"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6"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6"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6"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6"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6"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6"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6"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6"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6"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6"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6"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6"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6"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6"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6"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6"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6"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6"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6"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6"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6"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6"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6"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6"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6"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6"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6"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6"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6"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6"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6"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6"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6"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6"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6"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6"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6"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6"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6"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6"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6"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6"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6"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6"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6"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6"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6"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6"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6"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6"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6"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6"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6"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6"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6"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6"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6"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6"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6"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6"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6"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6"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6"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6"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92" t="str">
        <f>项目基本情况!B1</f>
        <v>山东省济南市高新区凤凰路以西、旅游路以南出让国有建设用地使用权及在建建筑物房地产抵押价值预评估</v>
      </c>
      <c r="C37" s="2992"/>
      <c r="D37" s="2992"/>
      <c r="E37" s="2992"/>
      <c r="F37" s="2992"/>
      <c r="G37" s="2992"/>
      <c r="H37" s="2992"/>
      <c r="I37" s="2992"/>
    </row>
    <row r="38" spans="1:9">
      <c r="A38" s="1014"/>
      <c r="B38" s="1014"/>
    </row>
    <row r="39" spans="1:9">
      <c r="A39" s="1012" t="s">
        <v>818</v>
      </c>
      <c r="B39" s="1012" t="s">
        <v>820</v>
      </c>
    </row>
    <row r="40" spans="1:9">
      <c r="A40" s="1012"/>
      <c r="B40" s="1939" t="str">
        <f>项目基本情况!B5</f>
        <v>济南三盛房地产开发有限公司</v>
      </c>
    </row>
    <row r="41" spans="1:9">
      <c r="A41" s="1012"/>
      <c r="B41" s="1012"/>
    </row>
    <row r="42" spans="1:9">
      <c r="A42" s="1012" t="s">
        <v>818</v>
      </c>
      <c r="B42" s="1012" t="s">
        <v>821</v>
      </c>
    </row>
    <row r="43" spans="1:9">
      <c r="A43" s="1012"/>
      <c r="B43" s="1939" t="s">
        <v>822</v>
      </c>
    </row>
    <row r="44" spans="1:9">
      <c r="A44" s="1012"/>
      <c r="B44" s="1012"/>
    </row>
    <row r="45" spans="1:9">
      <c r="A45" s="1012" t="s">
        <v>818</v>
      </c>
      <c r="B45" s="1012" t="s">
        <v>823</v>
      </c>
    </row>
    <row r="46" spans="1:9" s="1012" customFormat="1" ht="12.75">
      <c r="B46" s="1939" t="str">
        <f ca="1">项目基本情况!K4</f>
        <v>郑燚（注册号：1120070131)、王鹏（注册号：1120050019)</v>
      </c>
    </row>
    <row r="47" spans="1:9">
      <c r="A47" s="1012"/>
      <c r="B47" s="1012" t="str">
        <f>项目基本情况!K5</f>
        <v/>
      </c>
    </row>
    <row r="48" spans="1:9">
      <c r="A48" s="1012" t="s">
        <v>818</v>
      </c>
      <c r="B48" s="1012"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workbookViewId="0">
      <selection activeCell="C31" sqref="C31"/>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2332</v>
      </c>
      <c r="B1" s="1934"/>
      <c r="C1" s="240"/>
      <c r="D1" s="240"/>
      <c r="E1" s="240"/>
      <c r="F1" s="240"/>
      <c r="G1" s="1377">
        <f>MATCH(B1,'数据-取费表'!A6:A16,0)+5</f>
        <v>12</v>
      </c>
    </row>
    <row r="2" spans="1:9" s="242" customFormat="1" ht="18" customHeight="1">
      <c r="A2" s="243" t="s">
        <v>2333</v>
      </c>
      <c r="B2" s="244">
        <f ca="1">IF(D2="——",C52,C52-E2)</f>
        <v>97660</v>
      </c>
      <c r="C2" s="241" t="s">
        <v>2334</v>
      </c>
      <c r="D2" s="2542" t="s">
        <v>70</v>
      </c>
      <c r="E2" s="1437" t="e">
        <f ca="1">SUMIF(INDIRECT("'"&amp;G2&amp;"'"&amp;"!A:A"),"承租人权益价值",INDIRECT("'"&amp;G2&amp;"'"&amp;"!c:c"))</f>
        <v>#REF!</v>
      </c>
      <c r="F2" s="2543" t="s">
        <v>2334</v>
      </c>
      <c r="G2" s="2544"/>
    </row>
    <row r="3" spans="1:9" s="242" customFormat="1" ht="18" customHeight="1" thickBot="1">
      <c r="A3" s="245" t="s">
        <v>2335</v>
      </c>
      <c r="B3" s="246">
        <f ca="1">ROUND(B2*10000/(IF(B1="",'数据-汇总表'!E3,INDIRECT("'数据-取费表'!k"&amp;$G$1))),0)</f>
        <v>14505</v>
      </c>
      <c r="C3" s="241" t="s">
        <v>2336</v>
      </c>
      <c r="D3" s="241"/>
      <c r="E3" s="241"/>
      <c r="F3" s="241"/>
      <c r="G3" s="241"/>
    </row>
    <row r="4" spans="1:9" s="250" customFormat="1" ht="15.75">
      <c r="A4" s="247" t="s">
        <v>2337</v>
      </c>
      <c r="B4" s="248"/>
      <c r="C4" s="248"/>
      <c r="D4" s="248"/>
      <c r="E4" s="248"/>
      <c r="F4" s="248"/>
      <c r="G4" s="249"/>
    </row>
    <row r="5" spans="1:9" s="256" customFormat="1" ht="13.5" customHeight="1">
      <c r="A5" s="297" t="s">
        <v>2338</v>
      </c>
      <c r="B5" s="252" t="s">
        <v>2339</v>
      </c>
      <c r="C5" s="253">
        <f>C6+C7+C8</f>
        <v>73834</v>
      </c>
      <c r="D5" s="253" t="s">
        <v>2340</v>
      </c>
      <c r="E5" s="254" t="s">
        <v>2341</v>
      </c>
      <c r="F5" s="254" t="s">
        <v>2342</v>
      </c>
      <c r="G5" s="255"/>
    </row>
    <row r="6" spans="1:9" s="256" customFormat="1" ht="13.5" customHeight="1">
      <c r="A6" s="947" t="s">
        <v>2343</v>
      </c>
      <c r="B6" s="257" t="s">
        <v>2344</v>
      </c>
      <c r="C6" s="258">
        <f>'土地比较法-住宅、综合'!B2</f>
        <v>70631</v>
      </c>
      <c r="D6" s="259"/>
      <c r="E6" s="260"/>
      <c r="F6" s="260"/>
      <c r="G6" s="261"/>
    </row>
    <row r="7" spans="1:9" s="256" customFormat="1" ht="13.5" customHeight="1">
      <c r="A7" s="947" t="s">
        <v>2345</v>
      </c>
      <c r="B7" s="257" t="s">
        <v>2346</v>
      </c>
      <c r="C7" s="262">
        <f>ROUND(C6*F7,0)</f>
        <v>2861</v>
      </c>
      <c r="D7" s="262"/>
      <c r="E7" s="260"/>
      <c r="F7" s="263">
        <f>'数据-取费表'!B48+'数据-取费表'!B49</f>
        <v>4.0500000000000001E-2</v>
      </c>
      <c r="G7" s="261"/>
    </row>
    <row r="8" spans="1:9" s="265" customFormat="1">
      <c r="A8" s="947" t="s">
        <v>2347</v>
      </c>
      <c r="B8" s="257" t="s">
        <v>2348</v>
      </c>
      <c r="C8" s="262">
        <f>IF(G8="已包含在土地购买价格中","0",IF(B1="",'数据-取费表'!B29,IF(G9="全部缴纳",C9+C10,H9)))</f>
        <v>342</v>
      </c>
      <c r="D8" s="264"/>
      <c r="E8" s="262"/>
      <c r="F8" s="263"/>
      <c r="G8" s="2545" t="s">
        <v>3189</v>
      </c>
    </row>
    <row r="9" spans="1:9" s="256" customFormat="1" ht="13.5" customHeight="1">
      <c r="A9" s="948" t="s">
        <v>800</v>
      </c>
      <c r="B9" s="266" t="s">
        <v>2349</v>
      </c>
      <c r="C9" s="267">
        <f ca="1">ROUND(D9*E9/10000,0)</f>
        <v>1135</v>
      </c>
      <c r="D9" s="1030">
        <f ca="1">IF(B1="",'数据-汇总表'!E5,IF(INDIRECT("'数据-取费表'!c"&amp;$G$1)="住宅",INDIRECT("'数据-取费表'!k"&amp;$G$1),0))</f>
        <v>46157.97</v>
      </c>
      <c r="E9" s="267">
        <f>'数据-取费表'!B27</f>
        <v>246</v>
      </c>
      <c r="F9" s="263"/>
      <c r="G9" s="2546" t="s">
        <v>3188</v>
      </c>
      <c r="H9" s="2972">
        <f>'数据-取费表'!B29</f>
        <v>342</v>
      </c>
      <c r="I9" s="2547" t="s">
        <v>2350</v>
      </c>
    </row>
    <row r="10" spans="1:9" s="256" customFormat="1" ht="13.5" customHeight="1">
      <c r="A10" s="948" t="s">
        <v>801</v>
      </c>
      <c r="B10" s="266" t="s">
        <v>2351</v>
      </c>
      <c r="C10" s="267">
        <f ca="1">ROUND(D10*E10/10000,0)</f>
        <v>521</v>
      </c>
      <c r="D10" s="1030">
        <f ca="1">IF(B1="",'数据-汇总表'!E6,IF(INDIRECT("'数据-取费表'!c"&amp;$G$1)="住宅",INDIRECT("'数据-取费表'!s"&amp;$G$1),INDIRECT("'数据-取费表'!k"&amp;$G$1)+INDIRECT("'数据-取费表'!s"&amp;$G$1)))</f>
        <v>21172.200000000012</v>
      </c>
      <c r="E10" s="267">
        <f>'数据-取费表'!B28</f>
        <v>246</v>
      </c>
      <c r="F10" s="263"/>
      <c r="G10" s="268"/>
    </row>
    <row r="11" spans="1:9" s="256" customFormat="1" ht="13.5" hidden="1" customHeight="1">
      <c r="A11" s="269" t="s">
        <v>7</v>
      </c>
      <c r="B11" s="257" t="s">
        <v>2352</v>
      </c>
      <c r="C11" s="253"/>
      <c r="D11" s="1032"/>
      <c r="E11" s="260"/>
      <c r="F11" s="260"/>
      <c r="G11" s="261"/>
    </row>
    <row r="12" spans="1:9" s="256" customFormat="1" ht="13.5" hidden="1" customHeight="1">
      <c r="A12" s="269" t="s">
        <v>8</v>
      </c>
      <c r="B12" s="257" t="s">
        <v>2353</v>
      </c>
      <c r="C12" s="253">
        <v>0</v>
      </c>
      <c r="D12" s="1032"/>
      <c r="E12" s="270"/>
      <c r="F12" s="263">
        <v>3.0499999999999999E-2</v>
      </c>
      <c r="G12" s="261"/>
    </row>
    <row r="13" spans="1:9" s="256" customFormat="1" ht="13.5" hidden="1" customHeight="1">
      <c r="A13" s="269" t="s">
        <v>9</v>
      </c>
      <c r="B13" s="257" t="s">
        <v>2354</v>
      </c>
      <c r="C13" s="253"/>
      <c r="D13" s="1032"/>
      <c r="E13" s="260"/>
      <c r="F13" s="260"/>
      <c r="G13" s="261"/>
    </row>
    <row r="14" spans="1:9" s="256" customFormat="1" ht="13.5" hidden="1" customHeight="1">
      <c r="A14" s="269" t="s">
        <v>10</v>
      </c>
      <c r="B14" s="257" t="s">
        <v>2355</v>
      </c>
      <c r="C14" s="253"/>
      <c r="D14" s="1032"/>
      <c r="E14" s="260"/>
      <c r="F14" s="260"/>
      <c r="G14" s="261" t="s">
        <v>2356</v>
      </c>
    </row>
    <row r="15" spans="1:9" s="256" customFormat="1" ht="13.5" hidden="1" customHeight="1">
      <c r="A15" s="269" t="s">
        <v>11</v>
      </c>
      <c r="B15" s="257" t="s">
        <v>2357</v>
      </c>
      <c r="C15" s="262"/>
      <c r="D15" s="1032"/>
      <c r="E15" s="260"/>
      <c r="F15" s="260"/>
      <c r="G15" s="261" t="s">
        <v>2358</v>
      </c>
    </row>
    <row r="16" spans="1:9" s="256" customFormat="1" ht="13.5" hidden="1" customHeight="1">
      <c r="A16" s="269" t="s">
        <v>12</v>
      </c>
      <c r="B16" s="257" t="s">
        <v>2355</v>
      </c>
      <c r="C16" s="262"/>
      <c r="D16" s="1032"/>
      <c r="E16" s="260"/>
      <c r="F16" s="260"/>
      <c r="G16" s="261"/>
    </row>
    <row r="17" spans="1:7" s="256" customFormat="1" ht="13.5" hidden="1" customHeight="1">
      <c r="A17" s="269" t="s">
        <v>13</v>
      </c>
      <c r="B17" s="257" t="s">
        <v>2359</v>
      </c>
      <c r="C17" s="271"/>
      <c r="D17" s="1033"/>
      <c r="E17" s="271"/>
      <c r="F17" s="271"/>
      <c r="G17" s="261" t="s">
        <v>2358</v>
      </c>
    </row>
    <row r="18" spans="1:7" s="256" customFormat="1" ht="13.5" hidden="1" customHeight="1">
      <c r="A18" s="269" t="s">
        <v>14</v>
      </c>
      <c r="B18" s="257" t="s">
        <v>2360</v>
      </c>
      <c r="C18" s="262">
        <v>0</v>
      </c>
      <c r="D18" s="1032"/>
      <c r="E18" s="260"/>
      <c r="F18" s="263">
        <v>3.0499999999999999E-2</v>
      </c>
      <c r="G18" s="261" t="s">
        <v>2361</v>
      </c>
    </row>
    <row r="19" spans="1:7" s="265" customFormat="1" ht="13.5" customHeight="1">
      <c r="A19" s="297" t="s">
        <v>2362</v>
      </c>
      <c r="B19" s="252" t="s">
        <v>2363</v>
      </c>
      <c r="C19" s="253">
        <f ca="1">IF(G19="已包含在土地取得成本中","0",ROUND(D19*E19/10000,0))</f>
        <v>673</v>
      </c>
      <c r="D19" s="1034">
        <f ca="1">D9+D10</f>
        <v>67330.170000000013</v>
      </c>
      <c r="E19" s="253">
        <f>'数据-取费表'!B31</f>
        <v>100</v>
      </c>
      <c r="F19" s="273"/>
      <c r="G19" s="2545"/>
    </row>
    <row r="20" spans="1:7" s="256" customFormat="1" ht="13.5" customHeight="1">
      <c r="A20" s="297" t="s">
        <v>2364</v>
      </c>
      <c r="B20" s="252" t="s">
        <v>2365</v>
      </c>
      <c r="C20" s="274">
        <f ca="1">ROUND((C5+C19)*F20,0)</f>
        <v>1118</v>
      </c>
      <c r="D20" s="274"/>
      <c r="E20" s="274"/>
      <c r="F20" s="275">
        <f>'数据-取费表'!B37</f>
        <v>1.4999999999999999E-2</v>
      </c>
      <c r="G20" s="276" t="s">
        <v>2366</v>
      </c>
    </row>
    <row r="21" spans="1:7" s="256" customFormat="1" ht="13.5" customHeight="1">
      <c r="A21" s="297" t="s">
        <v>2367</v>
      </c>
      <c r="B21" s="252" t="s">
        <v>2368</v>
      </c>
      <c r="C21" s="277">
        <f>F21</f>
        <v>2.5000000000000001E-2</v>
      </c>
      <c r="D21" s="278" t="s">
        <v>2369</v>
      </c>
      <c r="E21" s="274"/>
      <c r="F21" s="275">
        <f>'数据-取费表'!B38</f>
        <v>2.5000000000000001E-2</v>
      </c>
      <c r="G21" s="276" t="s">
        <v>2370</v>
      </c>
    </row>
    <row r="22" spans="1:7" s="256" customFormat="1" ht="13.5" customHeight="1">
      <c r="A22" s="297" t="s">
        <v>2371</v>
      </c>
      <c r="B22" s="252" t="s">
        <v>2372</v>
      </c>
      <c r="C22" s="1352">
        <f ca="1">ROUND(SUM(C23:C25),0)</f>
        <v>4299</v>
      </c>
      <c r="D22" s="277">
        <f ca="1">C26</f>
        <v>6.9999999999999999E-4</v>
      </c>
      <c r="E22" s="278" t="s">
        <v>2369</v>
      </c>
      <c r="F22" s="279">
        <f ca="1">'数据-取费表'!B40</f>
        <v>4.7500000000000001E-2</v>
      </c>
      <c r="G22" s="276" t="str">
        <f>IF('数据-取费表'!B22&lt;=1,"单利计息","复利计息")</f>
        <v>复利计息</v>
      </c>
    </row>
    <row r="23" spans="1:7" s="256" customFormat="1" ht="13.5" customHeight="1">
      <c r="A23" s="949" t="s">
        <v>2373</v>
      </c>
      <c r="B23" s="257" t="s">
        <v>2374</v>
      </c>
      <c r="C23" s="1353">
        <f ca="1">ROUND(IF('数据-取费表'!B22&lt;=1,C5*F22*'数据-取费表'!B23,C5*(POWER((1+F22),'数据-取费表'!B23)-1)),0)</f>
        <v>4228</v>
      </c>
      <c r="D23" s="280"/>
      <c r="E23" s="280"/>
      <c r="F23" s="281"/>
      <c r="G23" s="282" t="s">
        <v>2375</v>
      </c>
    </row>
    <row r="24" spans="1:7" s="256" customFormat="1" ht="13.5" customHeight="1">
      <c r="A24" s="949" t="s">
        <v>2376</v>
      </c>
      <c r="B24" s="257" t="s">
        <v>2377</v>
      </c>
      <c r="C24" s="1353">
        <f ca="1">ROUND(IF('数据-取费表'!B22&lt;=1,C19*F22*('数据-取费表'!B19/2+'数据-取费表'!B21),C19*(POWER((1+F22),('数据-取费表'!B19/2+'数据-取费表'!B21))-1)),0)</f>
        <v>39</v>
      </c>
      <c r="D24" s="280"/>
      <c r="E24" s="280"/>
      <c r="F24" s="281"/>
      <c r="G24" s="282" t="s">
        <v>2378</v>
      </c>
    </row>
    <row r="25" spans="1:7" s="256" customFormat="1" ht="24">
      <c r="A25" s="949" t="s">
        <v>2379</v>
      </c>
      <c r="B25" s="257" t="s">
        <v>2380</v>
      </c>
      <c r="C25" s="1353">
        <f ca="1">ROUND(IF('数据-取费表'!B22&lt;=1,C20*F22*'数据-取费表'!B23/2,C20*(POWER((1+F22),'数据-取费表'!B23/2)-1)),0)</f>
        <v>32</v>
      </c>
      <c r="D25" s="280"/>
      <c r="E25" s="283"/>
      <c r="F25" s="281"/>
      <c r="G25" s="284" t="s">
        <v>2381</v>
      </c>
    </row>
    <row r="26" spans="1:7" s="256" customFormat="1">
      <c r="A26" s="949" t="s">
        <v>795</v>
      </c>
      <c r="B26" s="257" t="s">
        <v>2382</v>
      </c>
      <c r="C26" s="280">
        <f ca="1">ROUND(IF('数据-取费表'!B22&lt;=1,F21*F22*'数据-取费表'!B23/2,F21*(POWER((1+F22),'数据-取费表'!B23/2)-1)),4)</f>
        <v>6.9999999999999999E-4</v>
      </c>
      <c r="D26" s="280"/>
      <c r="E26" s="283"/>
      <c r="F26" s="281"/>
      <c r="G26" s="285"/>
    </row>
    <row r="27" spans="1:7" s="256" customFormat="1" ht="24.75">
      <c r="A27" s="297" t="s">
        <v>2383</v>
      </c>
      <c r="B27" s="286" t="s">
        <v>2384</v>
      </c>
      <c r="C27" s="287">
        <f ca="1">C28</f>
        <v>6171</v>
      </c>
      <c r="D27" s="277">
        <f ca="1">C29</f>
        <v>2E-3</v>
      </c>
      <c r="E27" s="278" t="s">
        <v>2385</v>
      </c>
      <c r="F27" s="288">
        <f ca="1">IF(B1="",'数据-取费表'!Q16,INDIRECT("'数据-取费表'!q"&amp;$G$1))</f>
        <v>0.17</v>
      </c>
      <c r="G27" s="289" t="s">
        <v>2386</v>
      </c>
    </row>
    <row r="28" spans="1:7" s="256" customFormat="1" ht="13.5" customHeight="1">
      <c r="A28" s="949" t="s">
        <v>791</v>
      </c>
      <c r="B28" s="290" t="s">
        <v>2387</v>
      </c>
      <c r="C28" s="291">
        <f ca="1">ROUND((C5+C19+C20)*F27*'数据-取费表'!B21/'数据-取费表'!B20,0)</f>
        <v>6171</v>
      </c>
      <c r="D28" s="277"/>
      <c r="E28" s="278"/>
      <c r="F28" s="288"/>
      <c r="G28" s="289"/>
    </row>
    <row r="29" spans="1:7" s="256" customFormat="1" ht="13.5" customHeight="1">
      <c r="A29" s="949" t="s">
        <v>792</v>
      </c>
      <c r="B29" s="290" t="s">
        <v>2388</v>
      </c>
      <c r="C29" s="280">
        <f ca="1">ROUND(C21*F27*'数据-取费表'!B21/'数据-取费表'!B20,4)</f>
        <v>2E-3</v>
      </c>
      <c r="D29" s="277"/>
      <c r="E29" s="278"/>
      <c r="F29" s="288"/>
      <c r="G29" s="289"/>
    </row>
    <row r="30" spans="1:7" s="256" customFormat="1" ht="13.5" customHeight="1">
      <c r="A30" s="297" t="s">
        <v>2389</v>
      </c>
      <c r="B30" s="252" t="s">
        <v>2390</v>
      </c>
      <c r="C30" s="277">
        <f>ROUND(F30/(1+'数据-取费表'!C42),4)</f>
        <v>5.33E-2</v>
      </c>
      <c r="D30" s="278" t="s">
        <v>2385</v>
      </c>
      <c r="E30" s="283"/>
      <c r="F30" s="279">
        <f>'数据-取费表'!B41</f>
        <v>5.6000000000000001E-2</v>
      </c>
      <c r="G30" s="276" t="s">
        <v>2391</v>
      </c>
    </row>
    <row r="31" spans="1:7" ht="16.5" customHeight="1">
      <c r="A31" s="251">
        <v>1</v>
      </c>
      <c r="B31" s="252" t="s">
        <v>2392</v>
      </c>
      <c r="C31" s="253">
        <f ca="1">ROUND((C5+C19+C20+C22+C27)/(1-C21-D22-D27-C30),0)</f>
        <v>93683</v>
      </c>
      <c r="D31" s="272"/>
      <c r="E31" s="253"/>
      <c r="F31" s="292"/>
      <c r="G31" s="276" t="s">
        <v>2393</v>
      </c>
    </row>
    <row r="32" spans="1:7" s="250" customFormat="1" ht="15.75">
      <c r="A32" s="294" t="s">
        <v>2394</v>
      </c>
      <c r="B32" s="295"/>
      <c r="C32" s="295"/>
      <c r="D32" s="295"/>
      <c r="E32" s="295"/>
      <c r="F32" s="295"/>
      <c r="G32" s="296"/>
    </row>
    <row r="33" spans="1:7" s="256" customFormat="1" ht="13.5" customHeight="1">
      <c r="A33" s="297" t="s">
        <v>782</v>
      </c>
      <c r="B33" s="252" t="s">
        <v>2395</v>
      </c>
      <c r="C33" s="298">
        <f ca="1">SUM(C34:C38)</f>
        <v>2998</v>
      </c>
      <c r="D33" s="274"/>
      <c r="E33" s="254"/>
      <c r="F33" s="283"/>
      <c r="G33" s="276"/>
    </row>
    <row r="34" spans="1:7" s="300" customFormat="1" ht="13.5" customHeight="1">
      <c r="A34" s="949" t="s">
        <v>791</v>
      </c>
      <c r="B34" s="257" t="s">
        <v>2396</v>
      </c>
      <c r="C34" s="262">
        <f ca="1">IF(B1="",IF(F34=100%,'数据-取费表'!M16,'数据-取费表'!O16),IF(F34=100%,INDIRECT("'数据-取费表'!m"&amp;$G$1)+INDIRECT("'数据-取费表'!t"&amp;$G$1),INDIRECT("'数据-取费表'!o"&amp;$G$1)+INDIRECT("'数据-取费表'!aq"&amp;$G$1)))</f>
        <v>2604</v>
      </c>
      <c r="D34" s="259"/>
      <c r="E34" s="262"/>
      <c r="F34" s="299">
        <f ca="1">IF('数据-取费表'!B24=0,1,IF(B1="",'数据-取费表'!N16,INDIRECT("'数据-取费表'!n"&amp;$G$1)))</f>
        <v>0.157</v>
      </c>
      <c r="G34" s="261" t="s">
        <v>2397</v>
      </c>
    </row>
    <row r="35" spans="1:7" ht="13.5" customHeight="1">
      <c r="A35" s="949" t="s">
        <v>796</v>
      </c>
      <c r="B35" s="257" t="s">
        <v>2398</v>
      </c>
      <c r="C35" s="262">
        <f ca="1">ROUND(C34*F35,0)</f>
        <v>78</v>
      </c>
      <c r="D35" s="262"/>
      <c r="E35" s="262"/>
      <c r="F35" s="301">
        <f>'数据-取费表'!B33</f>
        <v>0.03</v>
      </c>
      <c r="G35" s="261" t="s">
        <v>2399</v>
      </c>
    </row>
    <row r="36" spans="1:7" ht="24">
      <c r="A36" s="949" t="s">
        <v>797</v>
      </c>
      <c r="B36" s="257" t="s">
        <v>2400</v>
      </c>
      <c r="C36" s="262">
        <f ca="1">ROUND(IF(B1="",SUMIF('数据-取费表'!C:C,"住宅",IF(F34=100%,'数据-取费表'!M:M,'数据-取费表'!O:O))*F36,IF(INDIRECT("'数据-取费表'!c"&amp;$G$1)="住宅",IF(F34=100%,INDIRECT("'数据-取费表'!m"&amp;$G$1)*F36,INDIRECT("'数据-取费表'!o"&amp;$G$1)*F36),0)),0)</f>
        <v>66</v>
      </c>
      <c r="D36" s="262"/>
      <c r="E36" s="262"/>
      <c r="F36" s="301">
        <f>'数据-取费表'!B34</f>
        <v>0.05</v>
      </c>
      <c r="G36" s="302" t="s">
        <v>2401</v>
      </c>
    </row>
    <row r="37" spans="1:7" s="300" customFormat="1" ht="13.5" customHeight="1">
      <c r="A37" s="949" t="s">
        <v>798</v>
      </c>
      <c r="B37" s="257" t="s">
        <v>2402</v>
      </c>
      <c r="C37" s="291">
        <f ca="1">ROUND(E37*D37*F34/10000,0)</f>
        <v>211</v>
      </c>
      <c r="D37" s="259">
        <f ca="1">D19</f>
        <v>67330.170000000013</v>
      </c>
      <c r="E37" s="291">
        <f>'数据-取费表'!B35</f>
        <v>200</v>
      </c>
      <c r="F37" s="301"/>
      <c r="G37" s="303" t="s">
        <v>2403</v>
      </c>
    </row>
    <row r="38" spans="1:7" ht="13.5" customHeight="1">
      <c r="A38" s="949" t="s">
        <v>799</v>
      </c>
      <c r="B38" s="257" t="s">
        <v>2404</v>
      </c>
      <c r="C38" s="262">
        <f ca="1">ROUND(C34*F38,0)</f>
        <v>39</v>
      </c>
      <c r="D38" s="262"/>
      <c r="E38" s="262"/>
      <c r="F38" s="301">
        <f>'数据-取费表'!B36</f>
        <v>1.4999999999999999E-2</v>
      </c>
      <c r="G38" s="261" t="s">
        <v>2399</v>
      </c>
    </row>
    <row r="39" spans="1:7" s="256" customFormat="1" ht="13.5" customHeight="1">
      <c r="A39" s="297" t="s">
        <v>2405</v>
      </c>
      <c r="B39" s="252" t="s">
        <v>2406</v>
      </c>
      <c r="C39" s="274">
        <f ca="1">ROUND(C33*F20,0)</f>
        <v>45</v>
      </c>
      <c r="D39" s="274"/>
      <c r="E39" s="274"/>
      <c r="F39" s="275"/>
      <c r="G39" s="276" t="s">
        <v>2407</v>
      </c>
    </row>
    <row r="40" spans="1:7" s="256" customFormat="1" ht="13.5" customHeight="1">
      <c r="A40" s="297" t="s">
        <v>2408</v>
      </c>
      <c r="B40" s="252" t="s">
        <v>2409</v>
      </c>
      <c r="C40" s="1725">
        <f>F21</f>
        <v>2.5000000000000001E-2</v>
      </c>
      <c r="D40" s="278" t="s">
        <v>2410</v>
      </c>
      <c r="E40" s="274"/>
      <c r="F40" s="275"/>
      <c r="G40" s="276" t="s">
        <v>2411</v>
      </c>
    </row>
    <row r="41" spans="1:7" s="256" customFormat="1" ht="13.5" customHeight="1">
      <c r="A41" s="297" t="s">
        <v>2412</v>
      </c>
      <c r="B41" s="252" t="s">
        <v>2413</v>
      </c>
      <c r="C41" s="274">
        <f ca="1">ROUND(SUM(C42:C43),0)</f>
        <v>86</v>
      </c>
      <c r="D41" s="277">
        <f ca="1">C44</f>
        <v>6.9999999999999999E-4</v>
      </c>
      <c r="E41" s="278" t="s">
        <v>2410</v>
      </c>
      <c r="F41" s="279"/>
      <c r="G41" s="276" t="str">
        <f>IF('数据-取费表'!B22&lt;=1,"单利计息","复利计息")</f>
        <v>复利计息</v>
      </c>
    </row>
    <row r="42" spans="1:7" ht="13.5" customHeight="1">
      <c r="A42" s="949" t="s">
        <v>791</v>
      </c>
      <c r="B42" s="257" t="s">
        <v>2414</v>
      </c>
      <c r="C42" s="280">
        <f ca="1">ROUND(IF('数据-取费表'!B22&lt;=1,C33*F22*'数据-取费表'!B21/2,C33*(POWER((1+F22),'数据-取费表'!B21/2)-1)),0)</f>
        <v>85</v>
      </c>
      <c r="D42" s="280"/>
      <c r="E42" s="280"/>
      <c r="F42" s="281"/>
      <c r="G42" s="3178" t="s">
        <v>2415</v>
      </c>
    </row>
    <row r="43" spans="1:7" ht="13.5" customHeight="1">
      <c r="A43" s="949" t="s">
        <v>792</v>
      </c>
      <c r="B43" s="257" t="s">
        <v>2416</v>
      </c>
      <c r="C43" s="280">
        <f ca="1">ROUND(IF('数据-取费表'!B22&lt;=1,C39*F22*'数据-取费表'!B21/2,C39*(POWER((1+F22),'数据-取费表'!B21/2)-1)),0)</f>
        <v>1</v>
      </c>
      <c r="D43" s="280"/>
      <c r="E43" s="280"/>
      <c r="F43" s="281"/>
      <c r="G43" s="3179"/>
    </row>
    <row r="44" spans="1:7" ht="13.5" customHeight="1">
      <c r="A44" s="949" t="s">
        <v>793</v>
      </c>
      <c r="B44" s="257" t="s">
        <v>2417</v>
      </c>
      <c r="C44" s="280">
        <f ca="1">ROUND(IF('数据-取费表'!B22&lt;=1,C40*F22*'数据-取费表'!B21/2,C40*(POWER((1+F22),'数据-取费表'!B21/2)-1)),4)</f>
        <v>6.9999999999999999E-4</v>
      </c>
      <c r="D44" s="280"/>
      <c r="E44" s="280"/>
      <c r="F44" s="281"/>
      <c r="G44" s="3180"/>
    </row>
    <row r="45" spans="1:7" s="256" customFormat="1" ht="13.5" customHeight="1">
      <c r="A45" s="297" t="s">
        <v>2418</v>
      </c>
      <c r="B45" s="286" t="s">
        <v>2384</v>
      </c>
      <c r="C45" s="287">
        <f ca="1">C46</f>
        <v>517</v>
      </c>
      <c r="D45" s="277">
        <f ca="1">C47</f>
        <v>4.3E-3</v>
      </c>
      <c r="E45" s="278" t="s">
        <v>2410</v>
      </c>
      <c r="F45" s="288"/>
      <c r="G45" s="289" t="s">
        <v>2419</v>
      </c>
    </row>
    <row r="46" spans="1:7" s="256" customFormat="1" ht="13.5" customHeight="1">
      <c r="A46" s="949" t="s">
        <v>791</v>
      </c>
      <c r="B46" s="290" t="s">
        <v>2420</v>
      </c>
      <c r="C46" s="291">
        <f ca="1">ROUND((C33+C39)*F27,0)</f>
        <v>517</v>
      </c>
      <c r="D46" s="305"/>
      <c r="E46" s="278"/>
      <c r="F46" s="288"/>
      <c r="G46" s="289"/>
    </row>
    <row r="47" spans="1:7" s="256" customFormat="1" ht="13.5" customHeight="1">
      <c r="A47" s="949" t="s">
        <v>792</v>
      </c>
      <c r="B47" s="290" t="s">
        <v>2421</v>
      </c>
      <c r="C47" s="280">
        <f ca="1">ROUND(C40*F27,4)</f>
        <v>4.3E-3</v>
      </c>
      <c r="D47" s="305"/>
      <c r="E47" s="278"/>
      <c r="F47" s="288"/>
      <c r="G47" s="289"/>
    </row>
    <row r="48" spans="1:7" s="256" customFormat="1" ht="13.5" customHeight="1">
      <c r="A48" s="297" t="s">
        <v>2383</v>
      </c>
      <c r="B48" s="252" t="s">
        <v>2422</v>
      </c>
      <c r="C48" s="1725">
        <f>ROUND(F30/(1+'数据-取费表'!C42),4)</f>
        <v>5.33E-2</v>
      </c>
      <c r="D48" s="278" t="s">
        <v>2410</v>
      </c>
      <c r="E48" s="274"/>
      <c r="F48" s="279"/>
      <c r="G48" s="276" t="s">
        <v>2423</v>
      </c>
    </row>
    <row r="49" spans="1:7" ht="16.5" customHeight="1">
      <c r="A49" s="297" t="s">
        <v>2389</v>
      </c>
      <c r="B49" s="252" t="s">
        <v>2424</v>
      </c>
      <c r="C49" s="274">
        <f ca="1">ROUND((C33+C39+C41+C45)/(1-C40-D41-D45-C48),0)</f>
        <v>3977</v>
      </c>
      <c r="D49" s="274"/>
      <c r="E49" s="274"/>
      <c r="F49" s="306"/>
      <c r="G49" s="276" t="s">
        <v>2425</v>
      </c>
    </row>
    <row r="50" spans="1:7" s="300" customFormat="1" ht="24">
      <c r="A50" s="297" t="s">
        <v>2426</v>
      </c>
      <c r="B50" s="252" t="s">
        <v>2427</v>
      </c>
      <c r="C50" s="274"/>
      <c r="D50" s="274"/>
      <c r="E50" s="274"/>
      <c r="F50" s="306">
        <f>IF('数据-取费表'!B24=0,'数据-取费表'!N16,1)</f>
        <v>1</v>
      </c>
      <c r="G50" s="289" t="s">
        <v>2428</v>
      </c>
    </row>
    <row r="51" spans="1:7" ht="16.5" customHeight="1">
      <c r="A51" s="297" t="s">
        <v>2429</v>
      </c>
      <c r="B51" s="252" t="s">
        <v>2430</v>
      </c>
      <c r="C51" s="274">
        <f ca="1">ROUND(C49*F50,0)</f>
        <v>3977</v>
      </c>
      <c r="D51" s="274"/>
      <c r="E51" s="274"/>
      <c r="F51" s="306"/>
      <c r="G51" s="276" t="s">
        <v>2431</v>
      </c>
    </row>
    <row r="52" spans="1:7" s="250" customFormat="1" ht="16.5" thickBot="1">
      <c r="A52" s="307" t="s">
        <v>2432</v>
      </c>
      <c r="B52" s="308"/>
      <c r="C52" s="309">
        <f ca="1">C31+C51</f>
        <v>97660</v>
      </c>
      <c r="D52" s="308"/>
      <c r="E52" s="308"/>
      <c r="F52" s="308"/>
      <c r="G52" s="310"/>
    </row>
    <row r="55" spans="1:7" ht="15">
      <c r="B55" s="312" t="s">
        <v>2433</v>
      </c>
      <c r="C55" s="313"/>
    </row>
    <row r="56" spans="1:7">
      <c r="B56" s="315" t="s">
        <v>1515</v>
      </c>
      <c r="C56" s="317">
        <f ca="1">1-C57</f>
        <v>0.95899999999999996</v>
      </c>
    </row>
    <row r="57" spans="1:7">
      <c r="B57" s="315" t="s">
        <v>1516</v>
      </c>
      <c r="C57" s="316">
        <f ca="1">ROUND(C51/C52,3)</f>
        <v>4.1000000000000002E-2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K21" sqref="K21"/>
    </sheetView>
  </sheetViews>
  <sheetFormatPr defaultColWidth="18.625" defaultRowHeight="14.25"/>
  <cols>
    <col min="1" max="10" width="18.625" style="401"/>
    <col min="11" max="11" width="18.625" style="493"/>
    <col min="12" max="12" width="18.625" style="494"/>
    <col min="13" max="16384" width="18.625" style="401"/>
  </cols>
  <sheetData>
    <row r="1" spans="1:30" s="396" customFormat="1" ht="28.5" customHeight="1">
      <c r="A1" s="392" t="s">
        <v>2747</v>
      </c>
      <c r="B1" s="393"/>
      <c r="C1" s="394" t="s">
        <v>2748</v>
      </c>
      <c r="D1" s="752"/>
      <c r="E1" s="752"/>
      <c r="F1" s="751" t="s">
        <v>2646</v>
      </c>
      <c r="G1" s="752"/>
      <c r="H1" s="752"/>
      <c r="I1" s="752"/>
      <c r="J1" s="752"/>
      <c r="K1" s="753"/>
      <c r="L1" s="754"/>
      <c r="M1" s="755"/>
      <c r="N1" s="755"/>
      <c r="O1" s="755"/>
      <c r="P1" s="765"/>
      <c r="Q1" s="765"/>
      <c r="R1" s="765"/>
      <c r="S1" s="765"/>
      <c r="T1" s="765"/>
      <c r="U1" s="765"/>
      <c r="V1" s="765"/>
      <c r="W1" s="765"/>
      <c r="X1" s="765"/>
      <c r="Y1" s="765"/>
      <c r="Z1" s="765"/>
      <c r="AA1" s="765"/>
      <c r="AB1" s="765"/>
      <c r="AC1" s="766"/>
      <c r="AD1" s="395"/>
    </row>
    <row r="2" spans="1:30" s="396" customFormat="1" ht="28.5" customHeight="1">
      <c r="A2" s="243" t="s">
        <v>2333</v>
      </c>
      <c r="B2" s="669">
        <f>F66</f>
        <v>70631</v>
      </c>
      <c r="C2" s="1122"/>
      <c r="D2" s="1122"/>
      <c r="E2" s="1123"/>
      <c r="F2" s="1124"/>
      <c r="G2" s="1123"/>
      <c r="H2" s="1123"/>
      <c r="I2" s="1123"/>
      <c r="J2" s="1123"/>
      <c r="K2" s="1125"/>
      <c r="L2" s="1126"/>
      <c r="M2" s="1127"/>
      <c r="N2" s="1127"/>
      <c r="O2" s="1127"/>
      <c r="P2" s="765"/>
      <c r="Q2" s="765"/>
      <c r="R2" s="765"/>
      <c r="S2" s="765"/>
      <c r="T2" s="765"/>
      <c r="U2" s="765"/>
      <c r="V2" s="765"/>
      <c r="W2" s="765"/>
      <c r="X2" s="765"/>
      <c r="Y2" s="765"/>
      <c r="Z2" s="765"/>
      <c r="AA2" s="765"/>
      <c r="AB2" s="765"/>
      <c r="AC2" s="766"/>
      <c r="AD2" s="395"/>
    </row>
    <row r="3" spans="1:30" s="396" customFormat="1" ht="28.5" customHeight="1" thickBot="1">
      <c r="A3" s="245" t="s">
        <v>2335</v>
      </c>
      <c r="B3" s="607">
        <f>ROUND(IF(D3="",B2*10000/'数据-汇总表'!E3,B2*10000/D3),0)</f>
        <v>10490</v>
      </c>
      <c r="C3" s="245" t="s">
        <v>2749</v>
      </c>
      <c r="D3" s="1580"/>
      <c r="E3" s="1123"/>
      <c r="F3" s="1124"/>
      <c r="G3" s="1123"/>
      <c r="H3" s="1123"/>
      <c r="I3" s="1123"/>
      <c r="J3" s="1123"/>
      <c r="K3" s="1125"/>
      <c r="L3" s="1126"/>
      <c r="M3" s="1127"/>
      <c r="N3" s="1127"/>
      <c r="O3" s="1127"/>
      <c r="P3" s="765"/>
      <c r="Q3" s="765"/>
      <c r="R3" s="765"/>
      <c r="S3" s="765"/>
      <c r="T3" s="765"/>
      <c r="U3" s="765"/>
      <c r="V3" s="765"/>
      <c r="W3" s="765"/>
      <c r="X3" s="765"/>
      <c r="Y3" s="765"/>
      <c r="Z3" s="765"/>
      <c r="AA3" s="765"/>
      <c r="AB3" s="783"/>
      <c r="AC3" s="779"/>
    </row>
    <row r="4" spans="1:30" ht="15">
      <c r="A4" s="399" t="s">
        <v>2648</v>
      </c>
      <c r="B4" s="400"/>
      <c r="C4" s="3201" t="s">
        <v>2649</v>
      </c>
      <c r="D4" s="3202"/>
      <c r="E4" s="3203" t="s">
        <v>2650</v>
      </c>
      <c r="F4" s="3204"/>
      <c r="G4" s="3201" t="s">
        <v>2651</v>
      </c>
      <c r="H4" s="3202"/>
      <c r="I4" s="3201" t="s">
        <v>2652</v>
      </c>
      <c r="J4" s="3202"/>
      <c r="K4" s="608" t="s">
        <v>2653</v>
      </c>
      <c r="L4" s="1128"/>
      <c r="M4" s="1129"/>
      <c r="N4" s="1129"/>
      <c r="O4" s="1129"/>
      <c r="P4" s="3205" t="s">
        <v>2654</v>
      </c>
      <c r="Q4" s="3206"/>
      <c r="R4" s="3186" t="s">
        <v>2650</v>
      </c>
      <c r="S4" s="3187"/>
      <c r="T4" s="3186" t="s">
        <v>2651</v>
      </c>
      <c r="U4" s="3187"/>
      <c r="V4" s="3213" t="s">
        <v>2652</v>
      </c>
      <c r="W4" s="3213"/>
      <c r="X4" s="1810"/>
      <c r="Y4" s="3186" t="s">
        <v>2654</v>
      </c>
      <c r="Z4" s="3187"/>
      <c r="AA4" s="3181" t="s">
        <v>2650</v>
      </c>
      <c r="AB4" s="3182" t="s">
        <v>2651</v>
      </c>
      <c r="AC4" s="3181" t="s">
        <v>2652</v>
      </c>
    </row>
    <row r="5" spans="1:30" ht="15">
      <c r="A5" s="402"/>
      <c r="B5" s="403"/>
      <c r="C5" s="3192" t="s">
        <v>2545</v>
      </c>
      <c r="D5" s="3193"/>
      <c r="E5" s="3190" t="s">
        <v>3162</v>
      </c>
      <c r="F5" s="3191"/>
      <c r="G5" s="3196" t="s">
        <v>3164</v>
      </c>
      <c r="H5" s="3193"/>
      <c r="I5" s="3196" t="s">
        <v>3166</v>
      </c>
      <c r="J5" s="3193"/>
      <c r="K5" s="608"/>
      <c r="L5" s="1128"/>
      <c r="M5" s="1129"/>
      <c r="N5" s="1129"/>
      <c r="O5" s="1129"/>
      <c r="P5" s="3207"/>
      <c r="Q5" s="3208"/>
      <c r="R5" s="3188"/>
      <c r="S5" s="3189"/>
      <c r="T5" s="3188"/>
      <c r="U5" s="3189"/>
      <c r="V5" s="3213"/>
      <c r="W5" s="3213"/>
      <c r="X5" s="1810"/>
      <c r="Y5" s="3188"/>
      <c r="Z5" s="3189"/>
      <c r="AA5" s="3182"/>
      <c r="AB5" s="3182"/>
      <c r="AC5" s="3182"/>
    </row>
    <row r="6" spans="1:30" ht="15.75" thickBot="1">
      <c r="A6" s="404"/>
      <c r="B6" s="405"/>
      <c r="C6" s="3194" t="s">
        <v>2549</v>
      </c>
      <c r="D6" s="3195"/>
      <c r="E6" s="3197" t="s">
        <v>3163</v>
      </c>
      <c r="F6" s="3198"/>
      <c r="G6" s="3199" t="s">
        <v>3165</v>
      </c>
      <c r="H6" s="3195"/>
      <c r="I6" s="3199" t="s">
        <v>3167</v>
      </c>
      <c r="J6" s="3195"/>
      <c r="K6" s="608" t="s">
        <v>2550</v>
      </c>
      <c r="L6" s="1128"/>
      <c r="M6" s="1129"/>
      <c r="N6" s="1129"/>
      <c r="O6" s="1129"/>
      <c r="P6" s="3209"/>
      <c r="Q6" s="3210"/>
      <c r="R6" s="3188"/>
      <c r="S6" s="3189"/>
      <c r="T6" s="3211"/>
      <c r="U6" s="3212"/>
      <c r="V6" s="3213"/>
      <c r="W6" s="3213"/>
      <c r="X6" s="1810"/>
      <c r="Y6" s="3211"/>
      <c r="Z6" s="3212"/>
      <c r="AA6" s="3183"/>
      <c r="AB6" s="3183"/>
      <c r="AC6" s="3183"/>
    </row>
    <row r="7" spans="1:30" s="115" customFormat="1" ht="15.75" thickBot="1">
      <c r="A7" s="406" t="s">
        <v>2551</v>
      </c>
      <c r="B7" s="407"/>
      <c r="C7" s="408">
        <f>'数据-取费表'!B2</f>
        <v>43056</v>
      </c>
      <c r="D7" s="409">
        <v>100</v>
      </c>
      <c r="E7" s="410">
        <v>42948</v>
      </c>
      <c r="F7" s="411">
        <f>SUMIF(70:70,YEAR(E7)&amp;"-"&amp;INT((MONTH(E7)+2)/3),71:71)</f>
        <v>99.5</v>
      </c>
      <c r="G7" s="2688">
        <f>E7</f>
        <v>42948</v>
      </c>
      <c r="H7" s="409">
        <f>SUMIF(70:70,YEAR(G7)&amp;"-"&amp;INT((MONTH(G7)+2)/3),71:71)</f>
        <v>99.5</v>
      </c>
      <c r="I7" s="2688">
        <f>E7</f>
        <v>42948</v>
      </c>
      <c r="J7" s="409">
        <f>SUMIF(70:70,YEAR(I7)&amp;"-"&amp;INT((MONTH(I7)+2)/3),71:71)</f>
        <v>99.5</v>
      </c>
      <c r="K7" s="609"/>
      <c r="L7" s="1130"/>
      <c r="M7" s="1131"/>
      <c r="N7" s="1131"/>
      <c r="O7" s="1131"/>
      <c r="P7" s="3184" t="s">
        <v>2552</v>
      </c>
      <c r="Q7" s="3214"/>
      <c r="R7" s="767" t="s">
        <v>17</v>
      </c>
      <c r="S7" s="768">
        <f t="shared" ref="S7:S15" si="0">F7</f>
        <v>99.5</v>
      </c>
      <c r="T7" s="767" t="s">
        <v>17</v>
      </c>
      <c r="U7" s="768">
        <f t="shared" ref="U7:U15" si="1">H7</f>
        <v>99.5</v>
      </c>
      <c r="V7" s="767" t="s">
        <v>17</v>
      </c>
      <c r="W7" s="768">
        <f t="shared" ref="W7:W15" si="2">J7</f>
        <v>99.5</v>
      </c>
      <c r="X7" s="769"/>
      <c r="Y7" s="3184" t="s">
        <v>2552</v>
      </c>
      <c r="Z7" s="3185"/>
      <c r="AA7" s="770">
        <f>D7/F7</f>
        <v>1.0050251256281406</v>
      </c>
      <c r="AB7" s="770">
        <f>D7/H7</f>
        <v>1.0050251256281406</v>
      </c>
      <c r="AC7" s="770">
        <f>D7/J7</f>
        <v>1.0050251256281406</v>
      </c>
    </row>
    <row r="8" spans="1:30" s="115" customFormat="1" ht="15.75" thickBot="1">
      <c r="A8" s="406" t="s">
        <v>2553</v>
      </c>
      <c r="B8" s="407"/>
      <c r="C8" s="412" t="s">
        <v>2554</v>
      </c>
      <c r="D8" s="409">
        <v>100</v>
      </c>
      <c r="E8" s="412" t="s">
        <v>3106</v>
      </c>
      <c r="F8" s="411">
        <f>SUMIF(73:73,E8,74:74)-SUMIF(73:73,C8,74:74)+100</f>
        <v>100</v>
      </c>
      <c r="G8" s="412" t="s">
        <v>3106</v>
      </c>
      <c r="H8" s="409">
        <f>SUMIF(73:73,G8,74:74)-SUMIF(73:73,C8,74:74)+100</f>
        <v>100</v>
      </c>
      <c r="I8" s="412" t="s">
        <v>3106</v>
      </c>
      <c r="J8" s="409">
        <f>SUMIF(73:73,I8,74:74)-SUMIF(73:73,C8,74:74)+100</f>
        <v>100</v>
      </c>
      <c r="K8" s="609"/>
      <c r="L8" s="1130"/>
      <c r="M8" s="1131"/>
      <c r="N8" s="1131"/>
      <c r="O8" s="1131"/>
      <c r="P8" s="3184" t="s">
        <v>2555</v>
      </c>
      <c r="Q8" s="3185"/>
      <c r="R8" s="767" t="s">
        <v>17</v>
      </c>
      <c r="S8" s="768">
        <f t="shared" si="0"/>
        <v>100</v>
      </c>
      <c r="T8" s="767" t="s">
        <v>17</v>
      </c>
      <c r="U8" s="768">
        <f t="shared" si="1"/>
        <v>100</v>
      </c>
      <c r="V8" s="767" t="s">
        <v>17</v>
      </c>
      <c r="W8" s="768">
        <f t="shared" si="2"/>
        <v>100</v>
      </c>
      <c r="X8" s="769"/>
      <c r="Y8" s="3184" t="s">
        <v>2555</v>
      </c>
      <c r="Z8" s="3185"/>
      <c r="AA8" s="770">
        <f t="shared" ref="AA8:AA45" si="3">D8/F8</f>
        <v>1</v>
      </c>
      <c r="AB8" s="770">
        <f t="shared" ref="AB8:AB45" si="4">D8/H8</f>
        <v>1</v>
      </c>
      <c r="AC8" s="770">
        <f t="shared" ref="AC8:AC45" si="5">D8/J8</f>
        <v>1</v>
      </c>
    </row>
    <row r="9" spans="1:30" s="115" customFormat="1">
      <c r="A9" s="413" t="s">
        <v>2556</v>
      </c>
      <c r="B9" s="70" t="s">
        <v>2557</v>
      </c>
      <c r="C9" s="2691" t="s">
        <v>3079</v>
      </c>
      <c r="D9" s="132">
        <v>100</v>
      </c>
      <c r="E9" s="2691" t="s">
        <v>3079</v>
      </c>
      <c r="F9" s="132">
        <f>SUMIF(75:75,E9,76:76)-SUMIF(75:75,C9,76:76)+100</f>
        <v>100</v>
      </c>
      <c r="G9" s="2691" t="s">
        <v>3079</v>
      </c>
      <c r="H9" s="132">
        <f>SUMIF(75:75,G9,76:76)-SUMIF(75:75,C9,76:76)+100</f>
        <v>100</v>
      </c>
      <c r="I9" s="2691" t="s">
        <v>3079</v>
      </c>
      <c r="J9" s="132">
        <f>SUMIF(75:75,I9,76:76)-SUMIF(75:75,C9,76:76)+100</f>
        <v>100</v>
      </c>
      <c r="K9" s="609"/>
      <c r="L9" s="1130"/>
      <c r="M9" s="1131"/>
      <c r="N9" s="1131"/>
      <c r="O9" s="1132"/>
      <c r="P9" s="3200" t="s">
        <v>2558</v>
      </c>
      <c r="Q9" s="1792" t="str">
        <f t="shared" ref="Q9:Q15" si="6">B9</f>
        <v>用途</v>
      </c>
      <c r="R9" s="767" t="s">
        <v>17</v>
      </c>
      <c r="S9" s="768">
        <f t="shared" si="0"/>
        <v>100</v>
      </c>
      <c r="T9" s="767" t="s">
        <v>17</v>
      </c>
      <c r="U9" s="768">
        <f t="shared" si="1"/>
        <v>100</v>
      </c>
      <c r="V9" s="767" t="s">
        <v>17</v>
      </c>
      <c r="W9" s="768">
        <f t="shared" si="2"/>
        <v>100</v>
      </c>
      <c r="X9" s="769"/>
      <c r="Y9" s="3058" t="s">
        <v>2559</v>
      </c>
      <c r="Z9" s="54" t="str">
        <f t="shared" ref="Z9:Z15" si="7">Q9</f>
        <v>用途</v>
      </c>
      <c r="AA9" s="770">
        <f t="shared" si="3"/>
        <v>1</v>
      </c>
      <c r="AB9" s="770">
        <f t="shared" si="4"/>
        <v>1</v>
      </c>
      <c r="AC9" s="770">
        <f t="shared" si="5"/>
        <v>1</v>
      </c>
    </row>
    <row r="10" spans="1:30" s="425" customFormat="1" ht="15">
      <c r="A10" s="419"/>
      <c r="B10" s="420" t="s">
        <v>2560</v>
      </c>
      <c r="C10" s="430">
        <v>67.84</v>
      </c>
      <c r="D10" s="133">
        <v>100</v>
      </c>
      <c r="E10" s="463" t="s">
        <v>3105</v>
      </c>
      <c r="F10" s="133">
        <f>ROUND(100/'数据-取费表'!G16,0)</f>
        <v>101</v>
      </c>
      <c r="G10" s="461" t="s">
        <v>3105</v>
      </c>
      <c r="H10" s="133">
        <f>ROUND(100/'数据-取费表'!G16,0)</f>
        <v>101</v>
      </c>
      <c r="I10" s="461" t="s">
        <v>3105</v>
      </c>
      <c r="J10" s="133">
        <f>ROUND(100/'数据-取费表'!G16,0)</f>
        <v>101</v>
      </c>
      <c r="K10" s="670"/>
      <c r="L10" s="1133"/>
      <c r="M10" s="1134"/>
      <c r="N10" s="1134"/>
      <c r="O10" s="1135"/>
      <c r="P10" s="3200"/>
      <c r="Q10" s="1792" t="str">
        <f t="shared" si="6"/>
        <v>土地使用年限（年）</v>
      </c>
      <c r="R10" s="767" t="s">
        <v>17</v>
      </c>
      <c r="S10" s="768">
        <f t="shared" si="0"/>
        <v>101</v>
      </c>
      <c r="T10" s="767" t="s">
        <v>17</v>
      </c>
      <c r="U10" s="768">
        <f t="shared" si="1"/>
        <v>101</v>
      </c>
      <c r="V10" s="767" t="s">
        <v>17</v>
      </c>
      <c r="W10" s="768">
        <f t="shared" si="2"/>
        <v>101</v>
      </c>
      <c r="X10" s="769"/>
      <c r="Y10" s="3058"/>
      <c r="Z10" s="54" t="str">
        <f t="shared" si="7"/>
        <v>土地使用年限（年）</v>
      </c>
      <c r="AA10" s="770">
        <f t="shared" si="3"/>
        <v>0.99009900990099009</v>
      </c>
      <c r="AB10" s="770">
        <f t="shared" si="4"/>
        <v>0.99009900990099009</v>
      </c>
      <c r="AC10" s="770">
        <f t="shared" si="5"/>
        <v>0.99009900990099009</v>
      </c>
    </row>
    <row r="11" spans="1:30" ht="15.75" thickBot="1">
      <c r="A11" s="426"/>
      <c r="B11" s="420" t="s">
        <v>2561</v>
      </c>
      <c r="C11" s="427">
        <f>'数据-汇总表'!I4</f>
        <v>2.54</v>
      </c>
      <c r="D11" s="133">
        <v>100</v>
      </c>
      <c r="E11" s="427">
        <v>3</v>
      </c>
      <c r="F11" s="133">
        <f>LOOKUP(E11,80:80,81:81)-LOOKUP(C11,80:80,81:81)+100</f>
        <v>95</v>
      </c>
      <c r="G11" s="428">
        <v>1.3</v>
      </c>
      <c r="H11" s="133">
        <f>LOOKUP(G11,80:80,81:81)-LOOKUP(C11,80:80,81:81)+100</f>
        <v>105</v>
      </c>
      <c r="I11" s="427">
        <v>1.3</v>
      </c>
      <c r="J11" s="133">
        <f>LOOKUP(I11,80:80,81:81)-LOOKUP(C11,80:80,81:81)+100</f>
        <v>105</v>
      </c>
      <c r="K11" s="671">
        <v>5</v>
      </c>
      <c r="L11" s="1136"/>
      <c r="M11" s="1129"/>
      <c r="N11" s="1129"/>
      <c r="O11" s="1137"/>
      <c r="P11" s="3200"/>
      <c r="Q11" s="1792" t="str">
        <f t="shared" si="6"/>
        <v>容积率</v>
      </c>
      <c r="R11" s="767" t="s">
        <v>17</v>
      </c>
      <c r="S11" s="768">
        <f t="shared" si="0"/>
        <v>95</v>
      </c>
      <c r="T11" s="767" t="s">
        <v>17</v>
      </c>
      <c r="U11" s="768">
        <f t="shared" si="1"/>
        <v>105</v>
      </c>
      <c r="V11" s="767" t="s">
        <v>17</v>
      </c>
      <c r="W11" s="768">
        <f t="shared" si="2"/>
        <v>105</v>
      </c>
      <c r="X11" s="769"/>
      <c r="Y11" s="3058"/>
      <c r="Z11" s="54" t="str">
        <f t="shared" si="7"/>
        <v>容积率</v>
      </c>
      <c r="AA11" s="770">
        <f t="shared" si="3"/>
        <v>1.0526315789473684</v>
      </c>
      <c r="AB11" s="770">
        <f t="shared" si="4"/>
        <v>0.95238095238095233</v>
      </c>
      <c r="AC11" s="770">
        <f t="shared" si="5"/>
        <v>0.95238095238095233</v>
      </c>
    </row>
    <row r="12" spans="1:30" s="115" customFormat="1" ht="15" hidden="1">
      <c r="A12" s="429"/>
      <c r="B12" s="2594" t="s">
        <v>2750</v>
      </c>
      <c r="C12" s="430"/>
      <c r="D12" s="431">
        <v>100</v>
      </c>
      <c r="E12" s="463"/>
      <c r="F12" s="133">
        <f>SUMIF(82:82,E12,83:83)-SUMIF(82:82,C12,83:83)+100</f>
        <v>100</v>
      </c>
      <c r="G12" s="461"/>
      <c r="H12" s="133">
        <f>SUMIF(82:82,G12,83:83)-SUMIF(82:82,C12,83:83)+100</f>
        <v>100</v>
      </c>
      <c r="I12" s="463"/>
      <c r="J12" s="133">
        <f>SUMIF(82:82,I12,83:83)-SUMIF(82:82,C12,83:83)+100</f>
        <v>100</v>
      </c>
      <c r="K12" s="670"/>
      <c r="L12" s="1130"/>
      <c r="M12" s="1131"/>
      <c r="N12" s="1131"/>
      <c r="O12" s="1132"/>
      <c r="P12" s="3200"/>
      <c r="Q12" s="1792" t="str">
        <f t="shared" si="6"/>
        <v>配建</v>
      </c>
      <c r="R12" s="767" t="s">
        <v>17</v>
      </c>
      <c r="S12" s="768">
        <f t="shared" si="0"/>
        <v>100</v>
      </c>
      <c r="T12" s="767" t="s">
        <v>17</v>
      </c>
      <c r="U12" s="768">
        <f t="shared" si="1"/>
        <v>100</v>
      </c>
      <c r="V12" s="767" t="s">
        <v>17</v>
      </c>
      <c r="W12" s="768">
        <f t="shared" si="2"/>
        <v>100</v>
      </c>
      <c r="X12" s="769"/>
      <c r="Y12" s="3058"/>
      <c r="Z12" s="54" t="str">
        <f t="shared" si="7"/>
        <v>配建</v>
      </c>
      <c r="AA12" s="770">
        <f>D12/F12</f>
        <v>1</v>
      </c>
      <c r="AB12" s="770">
        <f>D12/H12</f>
        <v>1</v>
      </c>
      <c r="AC12" s="770">
        <f>D12/J12</f>
        <v>1</v>
      </c>
    </row>
    <row r="13" spans="1:30" ht="15" hidden="1">
      <c r="A13" s="426"/>
      <c r="B13" s="2594">
        <v>111</v>
      </c>
      <c r="C13" s="432"/>
      <c r="D13" s="433">
        <v>100</v>
      </c>
      <c r="E13" s="547"/>
      <c r="F13" s="133">
        <f>SUMIF(84:84,E13,85:85)-SUMIF(84:84,C13,85:85)+100</f>
        <v>100</v>
      </c>
      <c r="G13" s="672"/>
      <c r="H13" s="433">
        <f>SUMIF(84:84,G13,85:85)-SUMIF(84:84,C13,85:85)+100</f>
        <v>100</v>
      </c>
      <c r="I13" s="672"/>
      <c r="J13" s="433">
        <f>SUMIF(84:84,I13,85:85)-SUMIF(84:84,C13,85:85)+100</f>
        <v>100</v>
      </c>
      <c r="K13" s="670"/>
      <c r="L13" s="1138"/>
      <c r="M13" s="1129"/>
      <c r="N13" s="1129"/>
      <c r="O13" s="1137"/>
      <c r="P13" s="3200"/>
      <c r="Q13" s="1792">
        <f t="shared" si="6"/>
        <v>111</v>
      </c>
      <c r="R13" s="767" t="s">
        <v>17</v>
      </c>
      <c r="S13" s="768">
        <f t="shared" si="0"/>
        <v>100</v>
      </c>
      <c r="T13" s="767" t="s">
        <v>17</v>
      </c>
      <c r="U13" s="768">
        <f t="shared" si="1"/>
        <v>100</v>
      </c>
      <c r="V13" s="767" t="s">
        <v>17</v>
      </c>
      <c r="W13" s="768">
        <f t="shared" si="2"/>
        <v>100</v>
      </c>
      <c r="X13" s="769"/>
      <c r="Y13" s="3058"/>
      <c r="Z13" s="54">
        <f t="shared" si="7"/>
        <v>111</v>
      </c>
      <c r="AA13" s="770">
        <f>D13/F13</f>
        <v>1</v>
      </c>
      <c r="AB13" s="770">
        <f>D13/H13</f>
        <v>1</v>
      </c>
      <c r="AC13" s="770">
        <f>D13/J13</f>
        <v>1</v>
      </c>
    </row>
    <row r="14" spans="1:30" ht="15.75" hidden="1" thickBot="1">
      <c r="A14" s="434"/>
      <c r="B14" s="2596">
        <v>111</v>
      </c>
      <c r="C14" s="435"/>
      <c r="D14" s="436">
        <v>100</v>
      </c>
      <c r="E14" s="547"/>
      <c r="F14" s="436">
        <f>SUMIF(86:86,E14,87:87)-SUMIF(86:86,C14,87:87)+100</f>
        <v>100</v>
      </c>
      <c r="G14" s="672"/>
      <c r="H14" s="436">
        <f>SUMIF(86:86,G14,87:87)-SUMIF(86:86,C14,87:87)+100</f>
        <v>100</v>
      </c>
      <c r="I14" s="672"/>
      <c r="J14" s="436">
        <f>SUMIF(86:86,I14,87:87)-SUMIF(86:86,C14,87:87)+100</f>
        <v>100</v>
      </c>
      <c r="K14" s="670"/>
      <c r="L14" s="1138"/>
      <c r="M14" s="1129"/>
      <c r="N14" s="1129"/>
      <c r="O14" s="1137"/>
      <c r="P14" s="3200"/>
      <c r="Q14" s="1792">
        <f t="shared" si="6"/>
        <v>111</v>
      </c>
      <c r="R14" s="767" t="s">
        <v>17</v>
      </c>
      <c r="S14" s="768">
        <f t="shared" si="0"/>
        <v>100</v>
      </c>
      <c r="T14" s="767" t="s">
        <v>17</v>
      </c>
      <c r="U14" s="768">
        <f t="shared" si="1"/>
        <v>100</v>
      </c>
      <c r="V14" s="767" t="s">
        <v>17</v>
      </c>
      <c r="W14" s="768">
        <f t="shared" si="2"/>
        <v>100</v>
      </c>
      <c r="X14" s="769"/>
      <c r="Y14" s="3058"/>
      <c r="Z14" s="54">
        <f t="shared" si="7"/>
        <v>111</v>
      </c>
      <c r="AA14" s="770">
        <f>D14/F14</f>
        <v>1</v>
      </c>
      <c r="AB14" s="770">
        <f>D14/H14</f>
        <v>1</v>
      </c>
      <c r="AC14" s="770">
        <f>D14/J14</f>
        <v>1</v>
      </c>
    </row>
    <row r="15" spans="1:30" ht="71.25">
      <c r="A15" s="438" t="s">
        <v>2562</v>
      </c>
      <c r="B15" s="68" t="s">
        <v>2091</v>
      </c>
      <c r="C15" s="2597" t="str">
        <f>估价对象房地状况!C15</f>
        <v>估价对象周边居住用地比例、居住小区规模和社区发展完善程度，综合评价居住社区成熟度一般</v>
      </c>
      <c r="D15" s="439">
        <v>100</v>
      </c>
      <c r="E15" s="440"/>
      <c r="F15" s="439">
        <f>SUMIF(88:88,E16,89:89)-SUMIF(88:88,C16,89:89)+100</f>
        <v>105</v>
      </c>
      <c r="G15" s="440"/>
      <c r="H15" s="439">
        <f>SUMIF(88:88,G16,89:89)-SUMIF(88:88,C16,89:89)+100</f>
        <v>100</v>
      </c>
      <c r="I15" s="442"/>
      <c r="J15" s="439">
        <f>SUMIF(88:88,I16,89:89)-SUMIF(88:88,C16,89:89)+100</f>
        <v>100</v>
      </c>
      <c r="K15" s="671">
        <v>5</v>
      </c>
      <c r="L15" s="1138"/>
      <c r="M15" s="1129"/>
      <c r="N15" s="1129"/>
      <c r="O15" s="1137"/>
      <c r="P15" s="3215" t="s">
        <v>2563</v>
      </c>
      <c r="Q15" s="1807" t="str">
        <f t="shared" si="6"/>
        <v>居住社区成熟度</v>
      </c>
      <c r="R15" s="771" t="s">
        <v>17</v>
      </c>
      <c r="S15" s="772">
        <f t="shared" si="0"/>
        <v>105</v>
      </c>
      <c r="T15" s="771" t="s">
        <v>17</v>
      </c>
      <c r="U15" s="772">
        <f t="shared" si="1"/>
        <v>100</v>
      </c>
      <c r="V15" s="771" t="s">
        <v>17</v>
      </c>
      <c r="W15" s="772">
        <f t="shared" si="2"/>
        <v>100</v>
      </c>
      <c r="X15" s="1810"/>
      <c r="Y15" s="3215" t="s">
        <v>2563</v>
      </c>
      <c r="Z15" s="1811" t="str">
        <f t="shared" si="7"/>
        <v>居住社区成熟度</v>
      </c>
      <c r="AA15" s="1808">
        <f t="shared" si="3"/>
        <v>0.95238095238095233</v>
      </c>
      <c r="AB15" s="1808">
        <f t="shared" si="4"/>
        <v>1</v>
      </c>
      <c r="AC15" s="1808">
        <f t="shared" si="5"/>
        <v>1</v>
      </c>
    </row>
    <row r="16" spans="1:30" ht="15">
      <c r="A16" s="426"/>
      <c r="B16" s="444"/>
      <c r="C16" s="445" t="s">
        <v>3110</v>
      </c>
      <c r="D16" s="446"/>
      <c r="E16" s="2599" t="s">
        <v>3111</v>
      </c>
      <c r="F16" s="446"/>
      <c r="G16" s="2599" t="s">
        <v>3110</v>
      </c>
      <c r="H16" s="448"/>
      <c r="I16" s="2598" t="s">
        <v>3110</v>
      </c>
      <c r="J16" s="446"/>
      <c r="K16" s="670"/>
      <c r="L16" s="1138"/>
      <c r="M16" s="1129"/>
      <c r="N16" s="1129"/>
      <c r="O16" s="1137"/>
      <c r="P16" s="3216"/>
      <c r="Q16" s="1807"/>
      <c r="R16" s="771"/>
      <c r="S16" s="772"/>
      <c r="T16" s="771"/>
      <c r="U16" s="772"/>
      <c r="V16" s="771"/>
      <c r="W16" s="772"/>
      <c r="X16" s="1810"/>
      <c r="Y16" s="3216"/>
      <c r="Z16" s="1811"/>
      <c r="AA16" s="1808">
        <v>1</v>
      </c>
      <c r="AB16" s="1808">
        <v>1</v>
      </c>
      <c r="AC16" s="1808">
        <v>1</v>
      </c>
    </row>
    <row r="17" spans="1:29" ht="57">
      <c r="A17" s="426"/>
      <c r="B17" s="449" t="s">
        <v>2656</v>
      </c>
      <c r="C17" s="2656"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v>5</v>
      </c>
      <c r="L17" s="1138"/>
      <c r="M17" s="1129"/>
      <c r="N17" s="1129"/>
      <c r="O17" s="1137"/>
      <c r="P17" s="3216"/>
      <c r="Q17" s="1807" t="str">
        <f>B17</f>
        <v>商业繁华度</v>
      </c>
      <c r="R17" s="771" t="s">
        <v>17</v>
      </c>
      <c r="S17" s="772">
        <f>F17</f>
        <v>100</v>
      </c>
      <c r="T17" s="771" t="s">
        <v>17</v>
      </c>
      <c r="U17" s="772">
        <f>H17</f>
        <v>100</v>
      </c>
      <c r="V17" s="771" t="s">
        <v>17</v>
      </c>
      <c r="W17" s="772">
        <f>J17</f>
        <v>100</v>
      </c>
      <c r="X17" s="1810"/>
      <c r="Y17" s="3216"/>
      <c r="Z17" s="1811" t="str">
        <f>Q17</f>
        <v>商业繁华度</v>
      </c>
      <c r="AA17" s="1808">
        <f t="shared" si="3"/>
        <v>1</v>
      </c>
      <c r="AB17" s="1808">
        <f t="shared" si="4"/>
        <v>1</v>
      </c>
      <c r="AC17" s="1808">
        <f t="shared" si="5"/>
        <v>1</v>
      </c>
    </row>
    <row r="18" spans="1:29" ht="15">
      <c r="A18" s="426"/>
      <c r="B18" s="454"/>
      <c r="C18" s="2602" t="s">
        <v>3110</v>
      </c>
      <c r="D18" s="448"/>
      <c r="E18" s="2604" t="s">
        <v>3110</v>
      </c>
      <c r="F18" s="448"/>
      <c r="G18" s="2604" t="s">
        <v>3110</v>
      </c>
      <c r="H18" s="446"/>
      <c r="I18" s="2603" t="s">
        <v>3110</v>
      </c>
      <c r="J18" s="446"/>
      <c r="K18" s="670"/>
      <c r="L18" s="1138"/>
      <c r="M18" s="1129"/>
      <c r="N18" s="1129"/>
      <c r="O18" s="1137"/>
      <c r="P18" s="3216"/>
      <c r="Q18" s="1807"/>
      <c r="R18" s="771"/>
      <c r="S18" s="772"/>
      <c r="T18" s="771"/>
      <c r="U18" s="772"/>
      <c r="V18" s="771"/>
      <c r="W18" s="772"/>
      <c r="X18" s="1810"/>
      <c r="Y18" s="3216"/>
      <c r="Z18" s="1811"/>
      <c r="AA18" s="1808">
        <v>1</v>
      </c>
      <c r="AB18" s="1808">
        <v>1</v>
      </c>
      <c r="AC18" s="1808">
        <v>1</v>
      </c>
    </row>
    <row r="19" spans="1:29" ht="57" hidden="1">
      <c r="A19" s="426"/>
      <c r="B19" s="449" t="s">
        <v>2690</v>
      </c>
      <c r="C19" s="2656"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38"/>
      <c r="M19" s="1129"/>
      <c r="N19" s="1129"/>
      <c r="O19" s="1137"/>
      <c r="P19" s="3216"/>
      <c r="Q19" s="1807" t="str">
        <f>B19</f>
        <v>办公集聚程度</v>
      </c>
      <c r="R19" s="771" t="s">
        <v>17</v>
      </c>
      <c r="S19" s="772">
        <f>F19</f>
        <v>100</v>
      </c>
      <c r="T19" s="771" t="s">
        <v>17</v>
      </c>
      <c r="U19" s="772">
        <f>H19</f>
        <v>100</v>
      </c>
      <c r="V19" s="771" t="s">
        <v>17</v>
      </c>
      <c r="W19" s="772">
        <f>J19</f>
        <v>100</v>
      </c>
      <c r="X19" s="1810"/>
      <c r="Y19" s="3216"/>
      <c r="Z19" s="1811" t="str">
        <f>Q19</f>
        <v>办公集聚程度</v>
      </c>
      <c r="AA19" s="1808">
        <f t="shared" si="3"/>
        <v>1</v>
      </c>
      <c r="AB19" s="1808">
        <f t="shared" si="4"/>
        <v>1</v>
      </c>
      <c r="AC19" s="1808">
        <f t="shared" si="5"/>
        <v>1</v>
      </c>
    </row>
    <row r="20" spans="1:29" ht="15" hidden="1">
      <c r="A20" s="426"/>
      <c r="B20" s="454"/>
      <c r="C20" s="445"/>
      <c r="D20" s="446"/>
      <c r="E20" s="2599"/>
      <c r="F20" s="446"/>
      <c r="G20" s="2599"/>
      <c r="H20" s="446"/>
      <c r="I20" s="2598"/>
      <c r="J20" s="446"/>
      <c r="K20" s="670"/>
      <c r="L20" s="1138"/>
      <c r="M20" s="1129"/>
      <c r="N20" s="1129"/>
      <c r="O20" s="1137"/>
      <c r="P20" s="3216"/>
      <c r="Q20" s="1807"/>
      <c r="R20" s="771"/>
      <c r="S20" s="772"/>
      <c r="T20" s="771"/>
      <c r="U20" s="772"/>
      <c r="V20" s="771"/>
      <c r="W20" s="772"/>
      <c r="X20" s="1810"/>
      <c r="Y20" s="3216"/>
      <c r="Z20" s="1811"/>
      <c r="AA20" s="1808">
        <v>1</v>
      </c>
      <c r="AB20" s="1808">
        <v>1</v>
      </c>
      <c r="AC20" s="1808">
        <v>1</v>
      </c>
    </row>
    <row r="21" spans="1:29" ht="71.25">
      <c r="A21" s="426"/>
      <c r="B21" s="449" t="s">
        <v>2712</v>
      </c>
      <c r="C21" s="2601" t="str">
        <f>估价对象房地状况!C18</f>
        <v>估价对象周边道路状况、公共交通通达情况、停车便捷程度，综合评价交通便捷度较好</v>
      </c>
      <c r="D21" s="448">
        <v>100</v>
      </c>
      <c r="E21" s="450"/>
      <c r="F21" s="453">
        <f>SUMIF(94:94,E22,95:95)-SUMIF(94:94,C22,95:95)+100</f>
        <v>105</v>
      </c>
      <c r="G21" s="450"/>
      <c r="H21" s="448">
        <f>SUMIF(94:94,G22,95:95)-SUMIF(94:94,C22,95:95)+100</f>
        <v>100</v>
      </c>
      <c r="I21" s="452"/>
      <c r="J21" s="448">
        <f>SUMIF(94:94,I22,95:95)-SUMIF(94:94,C22,95:95)+100</f>
        <v>100</v>
      </c>
      <c r="K21" s="671">
        <v>5</v>
      </c>
      <c r="L21" s="1138"/>
      <c r="M21" s="1129"/>
      <c r="N21" s="1129"/>
      <c r="O21" s="1137"/>
      <c r="P21" s="3216"/>
      <c r="Q21" s="1807" t="str">
        <f>B21</f>
        <v>交通便捷度</v>
      </c>
      <c r="R21" s="771" t="s">
        <v>17</v>
      </c>
      <c r="S21" s="772">
        <f>F21</f>
        <v>105</v>
      </c>
      <c r="T21" s="771" t="s">
        <v>17</v>
      </c>
      <c r="U21" s="772">
        <f>H21</f>
        <v>100</v>
      </c>
      <c r="V21" s="771" t="s">
        <v>17</v>
      </c>
      <c r="W21" s="772">
        <f>J21</f>
        <v>100</v>
      </c>
      <c r="X21" s="1810"/>
      <c r="Y21" s="3216"/>
      <c r="Z21" s="1811" t="str">
        <f>Q21</f>
        <v>交通便捷度</v>
      </c>
      <c r="AA21" s="1808">
        <f t="shared" si="3"/>
        <v>0.95238095238095233</v>
      </c>
      <c r="AB21" s="1808">
        <f t="shared" si="4"/>
        <v>1</v>
      </c>
      <c r="AC21" s="1808">
        <f t="shared" si="5"/>
        <v>1</v>
      </c>
    </row>
    <row r="22" spans="1:29" ht="15">
      <c r="A22" s="426"/>
      <c r="B22" s="1382"/>
      <c r="C22" s="445" t="s">
        <v>3110</v>
      </c>
      <c r="D22" s="448"/>
      <c r="E22" s="2599" t="s">
        <v>3111</v>
      </c>
      <c r="F22" s="446"/>
      <c r="G22" s="2599" t="s">
        <v>3110</v>
      </c>
      <c r="H22" s="446"/>
      <c r="I22" s="2598" t="s">
        <v>3110</v>
      </c>
      <c r="J22" s="446"/>
      <c r="K22" s="670"/>
      <c r="L22" s="1138"/>
      <c r="M22" s="1129"/>
      <c r="N22" s="1129"/>
      <c r="O22" s="1137"/>
      <c r="P22" s="3216"/>
      <c r="Q22" s="1807"/>
      <c r="R22" s="771"/>
      <c r="S22" s="772"/>
      <c r="T22" s="771"/>
      <c r="U22" s="772"/>
      <c r="V22" s="771"/>
      <c r="W22" s="772"/>
      <c r="X22" s="1810"/>
      <c r="Y22" s="3216"/>
      <c r="Z22" s="1811"/>
      <c r="AA22" s="1808">
        <v>1</v>
      </c>
      <c r="AB22" s="1808">
        <v>1</v>
      </c>
      <c r="AC22" s="1808">
        <v>1</v>
      </c>
    </row>
    <row r="23" spans="1:29" ht="15">
      <c r="A23" s="402"/>
      <c r="B23" s="449" t="s">
        <v>2751</v>
      </c>
      <c r="C23" s="1387">
        <f>估价对象房地状况!C19</f>
        <v>0</v>
      </c>
      <c r="D23" s="453">
        <v>100</v>
      </c>
      <c r="E23" s="450"/>
      <c r="F23" s="453">
        <f>SUMIF(96:96,E24,97:97)-SUMIF(96:96,C24,97:97)+100</f>
        <v>100</v>
      </c>
      <c r="G23" s="452"/>
      <c r="H23" s="453">
        <f>SUMIF(96:96,G24,97:97)-SUMIF(96:96,C24,97:97)+100</f>
        <v>100</v>
      </c>
      <c r="I23" s="452"/>
      <c r="J23" s="453">
        <f>SUMIF(96:96,I24,97:97)-SUMIF(96:96,C24,97:97)+100</f>
        <v>100</v>
      </c>
      <c r="K23" s="671">
        <v>2</v>
      </c>
      <c r="L23" s="1138"/>
      <c r="M23" s="1129"/>
      <c r="N23" s="1129"/>
      <c r="O23" s="1137"/>
      <c r="P23" s="3216"/>
      <c r="Q23" s="1807" t="str">
        <f t="shared" ref="Q23:Q37" si="8">B23</f>
        <v>区域土地利用方向</v>
      </c>
      <c r="R23" s="771" t="s">
        <v>17</v>
      </c>
      <c r="S23" s="772">
        <f>F23</f>
        <v>100</v>
      </c>
      <c r="T23" s="771" t="s">
        <v>17</v>
      </c>
      <c r="U23" s="772">
        <f>H23</f>
        <v>100</v>
      </c>
      <c r="V23" s="771" t="s">
        <v>17</v>
      </c>
      <c r="W23" s="772">
        <f>J23</f>
        <v>100</v>
      </c>
      <c r="X23" s="1810"/>
      <c r="Y23" s="3216"/>
      <c r="Z23" s="1811" t="str">
        <f>Q23</f>
        <v>区域土地利用方向</v>
      </c>
      <c r="AA23" s="1808">
        <f t="shared" si="3"/>
        <v>1</v>
      </c>
      <c r="AB23" s="1808">
        <f t="shared" si="4"/>
        <v>1</v>
      </c>
      <c r="AC23" s="1808">
        <f t="shared" si="5"/>
        <v>1</v>
      </c>
    </row>
    <row r="24" spans="1:29" ht="15">
      <c r="A24" s="402"/>
      <c r="B24" s="454"/>
      <c r="C24" s="614" t="s">
        <v>3111</v>
      </c>
      <c r="D24" s="446"/>
      <c r="E24" s="2599" t="s">
        <v>3111</v>
      </c>
      <c r="F24" s="446"/>
      <c r="G24" s="2598" t="s">
        <v>3111</v>
      </c>
      <c r="H24" s="446"/>
      <c r="I24" s="2598" t="s">
        <v>3111</v>
      </c>
      <c r="J24" s="446"/>
      <c r="K24" s="807"/>
      <c r="L24" s="1138"/>
      <c r="M24" s="1129"/>
      <c r="N24" s="1129"/>
      <c r="O24" s="1137"/>
      <c r="P24" s="3216"/>
      <c r="Q24" s="1807"/>
      <c r="R24" s="771"/>
      <c r="S24" s="772"/>
      <c r="T24" s="771"/>
      <c r="U24" s="772"/>
      <c r="V24" s="771"/>
      <c r="W24" s="772"/>
      <c r="X24" s="1810"/>
      <c r="Y24" s="3216"/>
      <c r="Z24" s="1811"/>
      <c r="AA24" s="1808"/>
      <c r="AB24" s="1808"/>
      <c r="AC24" s="1808"/>
    </row>
    <row r="25" spans="1:29" ht="42.75">
      <c r="A25" s="402"/>
      <c r="B25" s="1382" t="s">
        <v>2752</v>
      </c>
      <c r="C25" s="2656"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v>2</v>
      </c>
      <c r="L25" s="1138"/>
      <c r="M25" s="1129"/>
      <c r="N25" s="1129"/>
      <c r="O25" s="1137"/>
      <c r="P25" s="3216"/>
      <c r="Q25" s="1807" t="str">
        <f t="shared" si="8"/>
        <v>自然及人文环境状况</v>
      </c>
      <c r="R25" s="771" t="s">
        <v>17</v>
      </c>
      <c r="S25" s="772">
        <f>F25</f>
        <v>100</v>
      </c>
      <c r="T25" s="771" t="s">
        <v>17</v>
      </c>
      <c r="U25" s="772">
        <f>H25</f>
        <v>100</v>
      </c>
      <c r="V25" s="771" t="s">
        <v>17</v>
      </c>
      <c r="W25" s="772">
        <f>J25</f>
        <v>100</v>
      </c>
      <c r="X25" s="1810"/>
      <c r="Y25" s="3216"/>
      <c r="Z25" s="1811" t="str">
        <f>Q25</f>
        <v>自然及人文环境状况</v>
      </c>
      <c r="AA25" s="1808">
        <f t="shared" si="3"/>
        <v>1</v>
      </c>
      <c r="AB25" s="1808">
        <f t="shared" si="4"/>
        <v>1</v>
      </c>
      <c r="AC25" s="1808">
        <f t="shared" si="5"/>
        <v>1</v>
      </c>
    </row>
    <row r="26" spans="1:29" ht="15">
      <c r="A26" s="402"/>
      <c r="B26" s="454"/>
      <c r="C26" s="445" t="s">
        <v>3111</v>
      </c>
      <c r="D26" s="446"/>
      <c r="E26" s="2605" t="s">
        <v>3111</v>
      </c>
      <c r="F26" s="446"/>
      <c r="G26" s="2605" t="s">
        <v>3111</v>
      </c>
      <c r="H26" s="446"/>
      <c r="I26" s="445" t="s">
        <v>3111</v>
      </c>
      <c r="J26" s="446"/>
      <c r="K26" s="670"/>
      <c r="L26" s="1138"/>
      <c r="M26" s="1129"/>
      <c r="N26" s="1129"/>
      <c r="O26" s="1137"/>
      <c r="P26" s="3216"/>
      <c r="Q26" s="1807"/>
      <c r="R26" s="771"/>
      <c r="S26" s="772"/>
      <c r="T26" s="771"/>
      <c r="U26" s="772"/>
      <c r="V26" s="771"/>
      <c r="W26" s="772"/>
      <c r="X26" s="1810"/>
      <c r="Y26" s="3216"/>
      <c r="Z26" s="1811"/>
      <c r="AA26" s="1808">
        <v>1</v>
      </c>
      <c r="AB26" s="1808">
        <v>1</v>
      </c>
      <c r="AC26" s="1808">
        <v>1</v>
      </c>
    </row>
    <row r="27" spans="1:29" s="115" customFormat="1" ht="28.5">
      <c r="A27" s="647"/>
      <c r="B27" s="1382" t="s">
        <v>2657</v>
      </c>
      <c r="C27" s="2601"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v>2</v>
      </c>
      <c r="L27" s="1130"/>
      <c r="M27" s="1131"/>
      <c r="N27" s="1131"/>
      <c r="O27" s="1132"/>
      <c r="P27" s="3216"/>
      <c r="Q27" s="1792" t="str">
        <f t="shared" si="8"/>
        <v>公共配套设施</v>
      </c>
      <c r="R27" s="767" t="s">
        <v>17</v>
      </c>
      <c r="S27" s="768">
        <f>F27</f>
        <v>100</v>
      </c>
      <c r="T27" s="767" t="s">
        <v>17</v>
      </c>
      <c r="U27" s="768">
        <f>H27</f>
        <v>100</v>
      </c>
      <c r="V27" s="767" t="s">
        <v>17</v>
      </c>
      <c r="W27" s="768">
        <f>J27</f>
        <v>100</v>
      </c>
      <c r="X27" s="769"/>
      <c r="Y27" s="3216"/>
      <c r="Z27" s="54" t="str">
        <f>Q27</f>
        <v>公共配套设施</v>
      </c>
      <c r="AA27" s="1808">
        <f>D27/F27</f>
        <v>1</v>
      </c>
      <c r="AB27" s="1808">
        <f>D27/H27</f>
        <v>1</v>
      </c>
      <c r="AC27" s="1808">
        <f>D27/J27</f>
        <v>1</v>
      </c>
    </row>
    <row r="28" spans="1:29" s="115" customFormat="1" ht="15">
      <c r="A28" s="647"/>
      <c r="B28" s="454"/>
      <c r="C28" s="2692" t="s">
        <v>3111</v>
      </c>
      <c r="D28" s="446"/>
      <c r="E28" s="2605" t="s">
        <v>3111</v>
      </c>
      <c r="F28" s="446"/>
      <c r="G28" s="2605" t="s">
        <v>3111</v>
      </c>
      <c r="H28" s="446"/>
      <c r="I28" s="445" t="s">
        <v>3111</v>
      </c>
      <c r="J28" s="446"/>
      <c r="K28" s="670"/>
      <c r="L28" s="1130"/>
      <c r="M28" s="1131"/>
      <c r="N28" s="1131"/>
      <c r="O28" s="1132"/>
      <c r="P28" s="3216"/>
      <c r="Q28" s="1792"/>
      <c r="R28" s="767"/>
      <c r="S28" s="768"/>
      <c r="T28" s="767"/>
      <c r="U28" s="768"/>
      <c r="V28" s="767"/>
      <c r="W28" s="768"/>
      <c r="X28" s="769"/>
      <c r="Y28" s="3216"/>
      <c r="Z28" s="54"/>
      <c r="AA28" s="1808">
        <v>1</v>
      </c>
      <c r="AB28" s="1808">
        <v>1</v>
      </c>
      <c r="AC28" s="1808">
        <v>1</v>
      </c>
    </row>
    <row r="29" spans="1:29" s="115" customFormat="1" ht="28.5">
      <c r="A29" s="647"/>
      <c r="B29" s="1382" t="s">
        <v>2658</v>
      </c>
      <c r="C29" s="2601"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v>2</v>
      </c>
      <c r="L29" s="1130"/>
      <c r="M29" s="1131"/>
      <c r="N29" s="1131"/>
      <c r="O29" s="1132"/>
      <c r="P29" s="3216"/>
      <c r="Q29" s="1792" t="str">
        <f t="shared" ref="Q29" si="9">B29</f>
        <v>基础设施水平</v>
      </c>
      <c r="R29" s="767" t="s">
        <v>17</v>
      </c>
      <c r="S29" s="768">
        <f>F29</f>
        <v>100</v>
      </c>
      <c r="T29" s="767" t="s">
        <v>17</v>
      </c>
      <c r="U29" s="768">
        <f>H29</f>
        <v>100</v>
      </c>
      <c r="V29" s="767" t="s">
        <v>17</v>
      </c>
      <c r="W29" s="768">
        <f>J29</f>
        <v>100</v>
      </c>
      <c r="X29" s="769"/>
      <c r="Y29" s="3216"/>
      <c r="Z29" s="54" t="str">
        <f>Q29</f>
        <v>基础设施水平</v>
      </c>
      <c r="AA29" s="1808">
        <f>D29/F29</f>
        <v>1</v>
      </c>
      <c r="AB29" s="1808">
        <f>D29/H29</f>
        <v>1</v>
      </c>
      <c r="AC29" s="1808">
        <f>D29/J29</f>
        <v>1</v>
      </c>
    </row>
    <row r="30" spans="1:29" s="115" customFormat="1" ht="15">
      <c r="A30" s="647"/>
      <c r="B30" s="454"/>
      <c r="C30" s="2692" t="s">
        <v>3112</v>
      </c>
      <c r="D30" s="446"/>
      <c r="E30" s="2693" t="s">
        <v>3112</v>
      </c>
      <c r="F30" s="446"/>
      <c r="G30" s="2693" t="s">
        <v>3112</v>
      </c>
      <c r="H30" s="446"/>
      <c r="I30" s="2693" t="s">
        <v>3112</v>
      </c>
      <c r="J30" s="446"/>
      <c r="K30" s="670"/>
      <c r="L30" s="1130"/>
      <c r="M30" s="1131"/>
      <c r="N30" s="1131"/>
      <c r="O30" s="1132"/>
      <c r="P30" s="3216"/>
      <c r="Q30" s="1792"/>
      <c r="R30" s="767"/>
      <c r="S30" s="768"/>
      <c r="T30" s="767"/>
      <c r="U30" s="768"/>
      <c r="V30" s="767"/>
      <c r="W30" s="768"/>
      <c r="X30" s="769"/>
      <c r="Y30" s="3216"/>
      <c r="Z30" s="54"/>
      <c r="AA30" s="1808">
        <v>1</v>
      </c>
      <c r="AB30" s="1808">
        <v>1</v>
      </c>
      <c r="AC30" s="1808">
        <v>1</v>
      </c>
    </row>
    <row r="31" spans="1:29" ht="15">
      <c r="A31" s="426"/>
      <c r="B31" s="454" t="s">
        <v>2659</v>
      </c>
      <c r="C31" s="614" t="s">
        <v>3114</v>
      </c>
      <c r="D31" s="433">
        <v>100</v>
      </c>
      <c r="E31" s="632" t="s">
        <v>3113</v>
      </c>
      <c r="F31" s="433">
        <f>SUMIF(104:104,E31,105:105)-SUMIF(104:104,C31,105:105)+100</f>
        <v>103</v>
      </c>
      <c r="G31" s="632" t="s">
        <v>3114</v>
      </c>
      <c r="H31" s="433">
        <f>SUMIF(104:104,G31,105:105)-SUMIF(104:104,C31,105:105)+100</f>
        <v>100</v>
      </c>
      <c r="I31" s="632" t="s">
        <v>3114</v>
      </c>
      <c r="J31" s="433">
        <f>SUMIF(104:104,I31,105:105)-SUMIF(104:104,C31,105:105)+100</f>
        <v>100</v>
      </c>
      <c r="K31" s="671">
        <v>3</v>
      </c>
      <c r="L31" s="1138"/>
      <c r="M31" s="1129"/>
      <c r="N31" s="1129"/>
      <c r="O31" s="1137"/>
      <c r="P31" s="3216"/>
      <c r="Q31" s="1807" t="str">
        <f t="shared" si="8"/>
        <v>临街状况</v>
      </c>
      <c r="R31" s="771" t="s">
        <v>17</v>
      </c>
      <c r="S31" s="772">
        <f t="shared" ref="S31:S45" si="10">F31</f>
        <v>103</v>
      </c>
      <c r="T31" s="771" t="s">
        <v>17</v>
      </c>
      <c r="U31" s="772">
        <f t="shared" ref="U31:U45" si="11">H31</f>
        <v>100</v>
      </c>
      <c r="V31" s="771" t="s">
        <v>17</v>
      </c>
      <c r="W31" s="772">
        <f t="shared" ref="W31:W45" si="12">J31</f>
        <v>100</v>
      </c>
      <c r="X31" s="1810"/>
      <c r="Y31" s="3216"/>
      <c r="Z31" s="1811" t="str">
        <f t="shared" ref="Z31:Z45" si="13">Q31</f>
        <v>临街状况</v>
      </c>
      <c r="AA31" s="1808">
        <f t="shared" si="3"/>
        <v>0.970873786407767</v>
      </c>
      <c r="AB31" s="1808">
        <f t="shared" si="4"/>
        <v>1</v>
      </c>
      <c r="AC31" s="1808">
        <f t="shared" si="5"/>
        <v>1</v>
      </c>
    </row>
    <row r="32" spans="1:29" ht="28.5">
      <c r="A32" s="426"/>
      <c r="B32" s="1382" t="s">
        <v>2694</v>
      </c>
      <c r="C32" s="452"/>
      <c r="D32" s="448">
        <v>100</v>
      </c>
      <c r="E32" s="450"/>
      <c r="F32" s="448">
        <f>SUMIF(106:106,E33,107:107)-SUMIF(106:106,C33,107:107)+100</f>
        <v>100</v>
      </c>
      <c r="G32" s="450"/>
      <c r="H32" s="448">
        <f>SUMIF(106:106,G33,107:107)-SUMIF(106:106,C33,107:107)+100</f>
        <v>98</v>
      </c>
      <c r="I32" s="452"/>
      <c r="J32" s="448">
        <f>SUMIF(106:106,I33,107:107)-SUMIF(106:106,C33,107:107)+100</f>
        <v>98</v>
      </c>
      <c r="K32" s="671">
        <v>2</v>
      </c>
      <c r="L32" s="1138"/>
      <c r="M32" s="1129"/>
      <c r="N32" s="1129"/>
      <c r="O32" s="1137"/>
      <c r="P32" s="3216"/>
      <c r="Q32" s="1807" t="str">
        <f t="shared" si="8"/>
        <v>毗邻道路的类型与等级</v>
      </c>
      <c r="R32" s="771" t="s">
        <v>17</v>
      </c>
      <c r="S32" s="772">
        <f t="shared" si="10"/>
        <v>100</v>
      </c>
      <c r="T32" s="771" t="s">
        <v>17</v>
      </c>
      <c r="U32" s="772">
        <f t="shared" si="11"/>
        <v>98</v>
      </c>
      <c r="V32" s="771" t="s">
        <v>17</v>
      </c>
      <c r="W32" s="772">
        <f t="shared" si="12"/>
        <v>98</v>
      </c>
      <c r="X32" s="1810"/>
      <c r="Y32" s="3216"/>
      <c r="Z32" s="1811" t="str">
        <f t="shared" si="13"/>
        <v>毗邻道路的类型与等级</v>
      </c>
      <c r="AA32" s="1808">
        <f t="shared" si="3"/>
        <v>1</v>
      </c>
      <c r="AB32" s="1808">
        <f t="shared" si="4"/>
        <v>1.0204081632653061</v>
      </c>
      <c r="AC32" s="1808">
        <f t="shared" si="5"/>
        <v>1.0204081632653061</v>
      </c>
    </row>
    <row r="33" spans="1:29" ht="15.75" thickBot="1">
      <c r="A33" s="426"/>
      <c r="B33" s="454"/>
      <c r="C33" s="445" t="s">
        <v>3116</v>
      </c>
      <c r="D33" s="446"/>
      <c r="E33" s="2605" t="s">
        <v>3116</v>
      </c>
      <c r="F33" s="446"/>
      <c r="G33" s="2605" t="s">
        <v>3118</v>
      </c>
      <c r="H33" s="446"/>
      <c r="I33" s="445" t="s">
        <v>3118</v>
      </c>
      <c r="J33" s="446"/>
      <c r="K33" s="611"/>
      <c r="L33" s="1138"/>
      <c r="M33" s="1129"/>
      <c r="N33" s="1129"/>
      <c r="O33" s="1137"/>
      <c r="P33" s="3216"/>
      <c r="Q33" s="1807"/>
      <c r="R33" s="771"/>
      <c r="S33" s="772"/>
      <c r="T33" s="771"/>
      <c r="U33" s="772"/>
      <c r="V33" s="771"/>
      <c r="W33" s="772"/>
      <c r="X33" s="1810"/>
      <c r="Y33" s="3216"/>
      <c r="Z33" s="1811"/>
      <c r="AA33" s="1808">
        <v>1</v>
      </c>
      <c r="AB33" s="1808">
        <v>1</v>
      </c>
      <c r="AC33" s="1808">
        <v>1</v>
      </c>
    </row>
    <row r="34" spans="1:29" ht="15.75" hidden="1" thickBot="1">
      <c r="A34" s="426"/>
      <c r="B34" s="420" t="s">
        <v>2753</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8"/>
      <c r="M34" s="1129"/>
      <c r="N34" s="1129"/>
      <c r="O34" s="1137"/>
      <c r="P34" s="3216"/>
      <c r="Q34" s="1807" t="str">
        <f t="shared" si="8"/>
        <v>土地级别</v>
      </c>
      <c r="R34" s="771" t="s">
        <v>17</v>
      </c>
      <c r="S34" s="772">
        <f t="shared" si="10"/>
        <v>100</v>
      </c>
      <c r="T34" s="771" t="s">
        <v>17</v>
      </c>
      <c r="U34" s="772">
        <f t="shared" si="11"/>
        <v>100</v>
      </c>
      <c r="V34" s="771" t="s">
        <v>17</v>
      </c>
      <c r="W34" s="772">
        <f t="shared" si="12"/>
        <v>100</v>
      </c>
      <c r="X34" s="1810"/>
      <c r="Y34" s="3216"/>
      <c r="Z34" s="1811" t="str">
        <f t="shared" si="13"/>
        <v>土地级别</v>
      </c>
      <c r="AA34" s="1808">
        <f t="shared" si="3"/>
        <v>1</v>
      </c>
      <c r="AB34" s="1808">
        <f t="shared" si="4"/>
        <v>1</v>
      </c>
      <c r="AC34" s="1808">
        <f t="shared" si="5"/>
        <v>1</v>
      </c>
    </row>
    <row r="35" spans="1:29" ht="15" hidden="1">
      <c r="A35" s="402"/>
      <c r="B35" s="1384">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8"/>
      <c r="M35" s="1129"/>
      <c r="N35" s="1129"/>
      <c r="O35" s="1137"/>
      <c r="P35" s="3216"/>
      <c r="Q35" s="1807">
        <f t="shared" si="8"/>
        <v>111</v>
      </c>
      <c r="R35" s="771" t="s">
        <v>17</v>
      </c>
      <c r="S35" s="772">
        <f t="shared" si="10"/>
        <v>100</v>
      </c>
      <c r="T35" s="771" t="s">
        <v>17</v>
      </c>
      <c r="U35" s="772">
        <f t="shared" si="11"/>
        <v>100</v>
      </c>
      <c r="V35" s="771" t="s">
        <v>17</v>
      </c>
      <c r="W35" s="772">
        <f t="shared" si="12"/>
        <v>100</v>
      </c>
      <c r="X35" s="1810"/>
      <c r="Y35" s="3216"/>
      <c r="Z35" s="1811">
        <f t="shared" si="13"/>
        <v>111</v>
      </c>
      <c r="AA35" s="1808">
        <f t="shared" si="3"/>
        <v>1</v>
      </c>
      <c r="AB35" s="1808">
        <f t="shared" si="4"/>
        <v>1</v>
      </c>
      <c r="AC35" s="1808">
        <f t="shared" si="5"/>
        <v>1</v>
      </c>
    </row>
    <row r="36" spans="1:29" ht="15" hidden="1">
      <c r="A36" s="673"/>
      <c r="B36" s="1385">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8"/>
      <c r="M36" s="1129"/>
      <c r="N36" s="1129"/>
      <c r="O36" s="1137"/>
      <c r="P36" s="3217" t="s">
        <v>2568</v>
      </c>
      <c r="Q36" s="1807">
        <f t="shared" si="8"/>
        <v>111</v>
      </c>
      <c r="R36" s="771" t="s">
        <v>17</v>
      </c>
      <c r="S36" s="772">
        <f t="shared" si="10"/>
        <v>100</v>
      </c>
      <c r="T36" s="771" t="s">
        <v>17</v>
      </c>
      <c r="U36" s="772">
        <f t="shared" si="11"/>
        <v>100</v>
      </c>
      <c r="V36" s="771" t="s">
        <v>17</v>
      </c>
      <c r="W36" s="772">
        <f t="shared" si="12"/>
        <v>100</v>
      </c>
      <c r="X36" s="1810"/>
      <c r="Y36" s="3218" t="s">
        <v>2568</v>
      </c>
      <c r="Z36" s="1811">
        <f t="shared" si="13"/>
        <v>111</v>
      </c>
      <c r="AA36" s="1808">
        <f t="shared" si="3"/>
        <v>1</v>
      </c>
      <c r="AB36" s="1808">
        <f t="shared" si="4"/>
        <v>1</v>
      </c>
      <c r="AC36" s="1808">
        <f t="shared" si="5"/>
        <v>1</v>
      </c>
    </row>
    <row r="37" spans="1:29" s="469" customFormat="1" ht="15.75" hidden="1" thickBot="1">
      <c r="A37" s="674"/>
      <c r="B37" s="1386">
        <v>111</v>
      </c>
      <c r="C37" s="676"/>
      <c r="D37" s="134">
        <v>100</v>
      </c>
      <c r="E37" s="699"/>
      <c r="F37" s="436">
        <f>SUMIF(114:114,E37,115:115)-SUMIF(114:114,C37,115:115)+100</f>
        <v>100</v>
      </c>
      <c r="G37" s="699"/>
      <c r="H37" s="436">
        <f>SUMIF(114:114,G37,115:115)-SUMIF(114:114,C37,115:115)+100</f>
        <v>100</v>
      </c>
      <c r="I37" s="676"/>
      <c r="J37" s="436">
        <f>SUMIF(114:114,I37,115:115)-SUMIF(114:114,C37,115:115)+100</f>
        <v>100</v>
      </c>
      <c r="K37" s="611"/>
      <c r="L37" s="1136"/>
      <c r="M37" s="1139"/>
      <c r="N37" s="1139"/>
      <c r="O37" s="1140"/>
      <c r="P37" s="3218"/>
      <c r="Q37" s="1807">
        <f t="shared" si="8"/>
        <v>111</v>
      </c>
      <c r="R37" s="774" t="s">
        <v>17</v>
      </c>
      <c r="S37" s="775">
        <f t="shared" si="10"/>
        <v>100</v>
      </c>
      <c r="T37" s="774" t="s">
        <v>17</v>
      </c>
      <c r="U37" s="775">
        <f t="shared" si="11"/>
        <v>100</v>
      </c>
      <c r="V37" s="774" t="s">
        <v>17</v>
      </c>
      <c r="W37" s="775">
        <f t="shared" si="12"/>
        <v>100</v>
      </c>
      <c r="X37" s="776"/>
      <c r="Y37" s="3218"/>
      <c r="Z37" s="777">
        <f t="shared" si="13"/>
        <v>111</v>
      </c>
      <c r="AA37" s="1808">
        <f t="shared" si="3"/>
        <v>1</v>
      </c>
      <c r="AB37" s="1808">
        <f t="shared" si="4"/>
        <v>1</v>
      </c>
      <c r="AC37" s="1808">
        <f t="shared" si="5"/>
        <v>1</v>
      </c>
    </row>
    <row r="38" spans="1:29" ht="15">
      <c r="A38" s="470" t="s">
        <v>2566</v>
      </c>
      <c r="B38" s="454" t="s">
        <v>2754</v>
      </c>
      <c r="C38" s="677">
        <f>'数据-基础表'!A3</f>
        <v>41398.199999999997</v>
      </c>
      <c r="D38" s="465">
        <v>100</v>
      </c>
      <c r="E38" s="677">
        <v>26405</v>
      </c>
      <c r="F38" s="465">
        <f>LOOKUP(E38,117:117,118:118)-LOOKUP(C38,117:117,118:118)+100</f>
        <v>98</v>
      </c>
      <c r="G38" s="677">
        <v>55333</v>
      </c>
      <c r="H38" s="465">
        <f>LOOKUP(G38,117:117,118:118)-LOOKUP(C38,117:117,118:118)+100</f>
        <v>100</v>
      </c>
      <c r="I38" s="528">
        <v>39550</v>
      </c>
      <c r="J38" s="465">
        <f>LOOKUP(I38,117:117,118:118)-LOOKUP(C38,117:117,118:118)+100</f>
        <v>98</v>
      </c>
      <c r="K38" s="611"/>
      <c r="L38" s="1138"/>
      <c r="M38" s="1129"/>
      <c r="N38" s="1129"/>
      <c r="O38" s="1137"/>
      <c r="P38" s="3218"/>
      <c r="Q38" s="1807" t="str">
        <f>B38</f>
        <v>宗地面积</v>
      </c>
      <c r="R38" s="771" t="s">
        <v>17</v>
      </c>
      <c r="S38" s="772">
        <f t="shared" si="10"/>
        <v>98</v>
      </c>
      <c r="T38" s="771" t="s">
        <v>17</v>
      </c>
      <c r="U38" s="772">
        <f t="shared" si="11"/>
        <v>100</v>
      </c>
      <c r="V38" s="771" t="s">
        <v>17</v>
      </c>
      <c r="W38" s="772">
        <f t="shared" si="12"/>
        <v>98</v>
      </c>
      <c r="X38" s="1810"/>
      <c r="Y38" s="3218"/>
      <c r="Z38" s="1811" t="str">
        <f t="shared" si="13"/>
        <v>宗地面积</v>
      </c>
      <c r="AA38" s="1808">
        <f t="shared" si="3"/>
        <v>1.0204081632653061</v>
      </c>
      <c r="AB38" s="1808">
        <f t="shared" si="4"/>
        <v>1</v>
      </c>
      <c r="AC38" s="1808">
        <f t="shared" si="5"/>
        <v>1.0204081632653061</v>
      </c>
    </row>
    <row r="39" spans="1:29" ht="15">
      <c r="A39" s="470"/>
      <c r="B39" s="420" t="s">
        <v>2755</v>
      </c>
      <c r="C39" s="2607" t="s">
        <v>3121</v>
      </c>
      <c r="D39" s="433">
        <v>100</v>
      </c>
      <c r="E39" s="2607" t="s">
        <v>3121</v>
      </c>
      <c r="F39" s="433">
        <f>SUMIF(119:119,E39,120:120)-SUMIF(119:119,C39,120:120)+100</f>
        <v>100</v>
      </c>
      <c r="G39" s="2607" t="s">
        <v>3121</v>
      </c>
      <c r="H39" s="433">
        <f>SUMIF(119:119,G39,120:120)-SUMIF(119:119,C39,120:120)+100</f>
        <v>100</v>
      </c>
      <c r="I39" s="2607" t="s">
        <v>3121</v>
      </c>
      <c r="J39" s="433">
        <f>SUMIF(119:119,I39,120:120)-SUMIF(119:119,C39,120:120)+100</f>
        <v>100</v>
      </c>
      <c r="K39" s="610"/>
      <c r="L39" s="1138"/>
      <c r="M39" s="1129"/>
      <c r="N39" s="1129"/>
      <c r="O39" s="1137"/>
      <c r="P39" s="3218"/>
      <c r="Q39" s="1807" t="str">
        <f t="shared" ref="Q39:Q45" si="14">B39</f>
        <v>宗地形状</v>
      </c>
      <c r="R39" s="771" t="s">
        <v>17</v>
      </c>
      <c r="S39" s="772">
        <f t="shared" si="10"/>
        <v>100</v>
      </c>
      <c r="T39" s="771" t="s">
        <v>17</v>
      </c>
      <c r="U39" s="772">
        <f t="shared" si="11"/>
        <v>100</v>
      </c>
      <c r="V39" s="771" t="s">
        <v>17</v>
      </c>
      <c r="W39" s="772">
        <f t="shared" si="12"/>
        <v>100</v>
      </c>
      <c r="X39" s="1810"/>
      <c r="Y39" s="3218"/>
      <c r="Z39" s="1811" t="str">
        <f t="shared" si="13"/>
        <v>宗地形状</v>
      </c>
      <c r="AA39" s="1808">
        <f t="shared" si="3"/>
        <v>1</v>
      </c>
      <c r="AB39" s="1808">
        <f t="shared" si="4"/>
        <v>1</v>
      </c>
      <c r="AC39" s="1808">
        <f t="shared" si="5"/>
        <v>1</v>
      </c>
    </row>
    <row r="40" spans="1:29" ht="15">
      <c r="A40" s="470"/>
      <c r="B40" s="420" t="s">
        <v>2756</v>
      </c>
      <c r="C40" s="2607" t="s">
        <v>3126</v>
      </c>
      <c r="D40" s="433">
        <v>100</v>
      </c>
      <c r="E40" s="2607" t="s">
        <v>3126</v>
      </c>
      <c r="F40" s="433">
        <f>SUMIF(121:121,E40,122:122)-SUMIF(121:121,C40,122:122)+100</f>
        <v>100</v>
      </c>
      <c r="G40" s="2607" t="s">
        <v>3126</v>
      </c>
      <c r="H40" s="433">
        <f>SUMIF(121:121,G40,122:122)-SUMIF(121:121,C40,122:122)+100</f>
        <v>100</v>
      </c>
      <c r="I40" s="2607" t="s">
        <v>3126</v>
      </c>
      <c r="J40" s="433">
        <f>SUMIF(121:121,I40,122:122)-SUMIF(121:121,C40,122:122)+100</f>
        <v>100</v>
      </c>
      <c r="K40" s="610"/>
      <c r="L40" s="1138"/>
      <c r="M40" s="1129"/>
      <c r="N40" s="1129"/>
      <c r="O40" s="1137"/>
      <c r="P40" s="3218"/>
      <c r="Q40" s="1807" t="str">
        <f t="shared" si="14"/>
        <v>临街宽度及深度</v>
      </c>
      <c r="R40" s="771" t="s">
        <v>17</v>
      </c>
      <c r="S40" s="772">
        <f t="shared" si="10"/>
        <v>100</v>
      </c>
      <c r="T40" s="771" t="s">
        <v>17</v>
      </c>
      <c r="U40" s="772">
        <f t="shared" si="11"/>
        <v>100</v>
      </c>
      <c r="V40" s="771" t="s">
        <v>17</v>
      </c>
      <c r="W40" s="772">
        <f t="shared" si="12"/>
        <v>100</v>
      </c>
      <c r="X40" s="1810"/>
      <c r="Y40" s="3218"/>
      <c r="Z40" s="1811" t="str">
        <f t="shared" si="13"/>
        <v>临街宽度及深度</v>
      </c>
      <c r="AA40" s="1808">
        <f t="shared" si="3"/>
        <v>1</v>
      </c>
      <c r="AB40" s="1808">
        <f t="shared" si="4"/>
        <v>1</v>
      </c>
      <c r="AC40" s="1808">
        <f t="shared" si="5"/>
        <v>1</v>
      </c>
    </row>
    <row r="41" spans="1:29" s="115" customFormat="1" ht="15">
      <c r="A41" s="471"/>
      <c r="B41" s="420" t="s">
        <v>2757</v>
      </c>
      <c r="C41" s="2694" t="s">
        <v>3123</v>
      </c>
      <c r="D41" s="133">
        <v>100</v>
      </c>
      <c r="E41" s="2694" t="s">
        <v>3123</v>
      </c>
      <c r="F41" s="433">
        <f>SUMIF(123:123,E41,124:124)-SUMIF(123:123,C41,124:124)+100</f>
        <v>100</v>
      </c>
      <c r="G41" s="2694" t="s">
        <v>3123</v>
      </c>
      <c r="H41" s="433">
        <f>SUMIF(123:123,G41,124:124)-SUMIF(123:123,C41,124:124)+100</f>
        <v>100</v>
      </c>
      <c r="I41" s="2694" t="s">
        <v>3123</v>
      </c>
      <c r="J41" s="433">
        <f>SUMIF(123:123,I41,124:124)-SUMIF(123:123,C41,124:124)+100</f>
        <v>100</v>
      </c>
      <c r="K41" s="610"/>
      <c r="L41" s="1130"/>
      <c r="M41" s="1131"/>
      <c r="N41" s="1131"/>
      <c r="O41" s="1132"/>
      <c r="P41" s="3218"/>
      <c r="Q41" s="1807" t="str">
        <f t="shared" si="14"/>
        <v>宗地开发程度</v>
      </c>
      <c r="R41" s="767" t="s">
        <v>17</v>
      </c>
      <c r="S41" s="768">
        <f t="shared" si="10"/>
        <v>100</v>
      </c>
      <c r="T41" s="767" t="s">
        <v>17</v>
      </c>
      <c r="U41" s="768">
        <f t="shared" si="11"/>
        <v>100</v>
      </c>
      <c r="V41" s="767" t="s">
        <v>17</v>
      </c>
      <c r="W41" s="768">
        <f t="shared" si="12"/>
        <v>100</v>
      </c>
      <c r="X41" s="769"/>
      <c r="Y41" s="3218"/>
      <c r="Z41" s="54" t="str">
        <f t="shared" si="13"/>
        <v>宗地开发程度</v>
      </c>
      <c r="AA41" s="770">
        <f t="shared" si="3"/>
        <v>1</v>
      </c>
      <c r="AB41" s="770">
        <f t="shared" si="4"/>
        <v>1</v>
      </c>
      <c r="AC41" s="770">
        <f t="shared" si="5"/>
        <v>1</v>
      </c>
    </row>
    <row r="42" spans="1:29" ht="15.75" thickBot="1">
      <c r="A42" s="470"/>
      <c r="B42" s="420" t="s">
        <v>2758</v>
      </c>
      <c r="C42" s="2607" t="s">
        <v>3110</v>
      </c>
      <c r="D42" s="433">
        <v>100</v>
      </c>
      <c r="E42" s="2607" t="s">
        <v>3111</v>
      </c>
      <c r="F42" s="433">
        <f>SUMIF(125:125,E42,126:126)-SUMIF(125:125,C42,126:126)+100</f>
        <v>105</v>
      </c>
      <c r="G42" s="2607" t="s">
        <v>3110</v>
      </c>
      <c r="H42" s="433">
        <f>SUMIF(125:125,G42,126:126)-SUMIF(125:125,C42,126:126)+100</f>
        <v>100</v>
      </c>
      <c r="I42" s="2607" t="s">
        <v>3110</v>
      </c>
      <c r="J42" s="433">
        <f>SUMIF(125:125,I42,126:126)-SUMIF(125:125,C42,126:126)+100</f>
        <v>100</v>
      </c>
      <c r="K42" s="610">
        <v>5</v>
      </c>
      <c r="L42" s="1138"/>
      <c r="M42" s="1129"/>
      <c r="N42" s="1129"/>
      <c r="O42" s="1137"/>
      <c r="P42" s="3218" t="s">
        <v>2568</v>
      </c>
      <c r="Q42" s="1807" t="str">
        <f t="shared" si="14"/>
        <v>工程地质条件</v>
      </c>
      <c r="R42" s="771" t="s">
        <v>17</v>
      </c>
      <c r="S42" s="772">
        <f t="shared" si="10"/>
        <v>105</v>
      </c>
      <c r="T42" s="771" t="s">
        <v>17</v>
      </c>
      <c r="U42" s="772">
        <f t="shared" si="11"/>
        <v>100</v>
      </c>
      <c r="V42" s="771" t="s">
        <v>17</v>
      </c>
      <c r="W42" s="772">
        <f t="shared" si="12"/>
        <v>100</v>
      </c>
      <c r="X42" s="1810"/>
      <c r="Y42" s="3218" t="s">
        <v>2568</v>
      </c>
      <c r="Z42" s="1811" t="str">
        <f t="shared" si="13"/>
        <v>工程地质条件</v>
      </c>
      <c r="AA42" s="1808">
        <f t="shared" si="3"/>
        <v>0.95238095238095233</v>
      </c>
      <c r="AB42" s="1808">
        <f t="shared" si="4"/>
        <v>1</v>
      </c>
      <c r="AC42" s="1808">
        <f t="shared" si="5"/>
        <v>1</v>
      </c>
    </row>
    <row r="43" spans="1:29" ht="15.75" hidden="1" thickBot="1">
      <c r="A43" s="470"/>
      <c r="B43" s="2958" t="s">
        <v>3179</v>
      </c>
      <c r="C43" s="2959" t="s">
        <v>3180</v>
      </c>
      <c r="D43" s="433">
        <v>100</v>
      </c>
      <c r="E43" s="2959" t="s">
        <v>3180</v>
      </c>
      <c r="F43" s="433">
        <f>SUMIF(127:127,E43,128:128)-SUMIF(127:127,C43,128:128)+100</f>
        <v>100</v>
      </c>
      <c r="G43" s="2959" t="s">
        <v>3180</v>
      </c>
      <c r="H43" s="433">
        <f>SUMIF(127:127,G43,128:128)-SUMIF(127:127,C43,128:128)+100</f>
        <v>100</v>
      </c>
      <c r="I43" s="2960" t="s">
        <v>3180</v>
      </c>
      <c r="J43" s="433">
        <f>SUMIF(127:127,I43,128:128)-SUMIF(127:127,C43,128:128)+100</f>
        <v>100</v>
      </c>
      <c r="K43" s="611"/>
      <c r="L43" s="1138"/>
      <c r="M43" s="1129"/>
      <c r="N43" s="1129"/>
      <c r="O43" s="1137"/>
      <c r="P43" s="3218"/>
      <c r="Q43" s="1807" t="str">
        <f t="shared" si="14"/>
        <v>是否坡地</v>
      </c>
      <c r="R43" s="771" t="s">
        <v>17</v>
      </c>
      <c r="S43" s="772">
        <f t="shared" si="10"/>
        <v>100</v>
      </c>
      <c r="T43" s="771" t="s">
        <v>17</v>
      </c>
      <c r="U43" s="772">
        <f t="shared" si="11"/>
        <v>100</v>
      </c>
      <c r="V43" s="771" t="s">
        <v>17</v>
      </c>
      <c r="W43" s="772">
        <f t="shared" si="12"/>
        <v>100</v>
      </c>
      <c r="X43" s="1810"/>
      <c r="Y43" s="3218"/>
      <c r="Z43" s="1811" t="str">
        <f t="shared" si="13"/>
        <v>是否坡地</v>
      </c>
      <c r="AA43" s="1808">
        <f t="shared" si="3"/>
        <v>1</v>
      </c>
      <c r="AB43" s="1808">
        <f t="shared" si="4"/>
        <v>1</v>
      </c>
      <c r="AC43" s="1808">
        <f t="shared" si="5"/>
        <v>1</v>
      </c>
    </row>
    <row r="44" spans="1:29" ht="15" hidden="1">
      <c r="A44" s="470"/>
      <c r="B44" s="1385">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8"/>
      <c r="M44" s="1129"/>
      <c r="N44" s="1129"/>
      <c r="O44" s="1137"/>
      <c r="P44" s="3218"/>
      <c r="Q44" s="1807">
        <f t="shared" si="14"/>
        <v>111</v>
      </c>
      <c r="R44" s="771" t="s">
        <v>17</v>
      </c>
      <c r="S44" s="772">
        <f t="shared" si="10"/>
        <v>100</v>
      </c>
      <c r="T44" s="771" t="s">
        <v>17</v>
      </c>
      <c r="U44" s="772">
        <f t="shared" si="11"/>
        <v>100</v>
      </c>
      <c r="V44" s="771" t="s">
        <v>17</v>
      </c>
      <c r="W44" s="772">
        <f t="shared" si="12"/>
        <v>100</v>
      </c>
      <c r="X44" s="1810"/>
      <c r="Y44" s="3218"/>
      <c r="Z44" s="1811">
        <f t="shared" si="13"/>
        <v>111</v>
      </c>
      <c r="AA44" s="1808">
        <f t="shared" si="3"/>
        <v>1</v>
      </c>
      <c r="AB44" s="1808">
        <f t="shared" si="4"/>
        <v>1</v>
      </c>
      <c r="AC44" s="1808">
        <f t="shared" si="5"/>
        <v>1</v>
      </c>
    </row>
    <row r="45" spans="1:29" s="469" customFormat="1" ht="15.75" hidden="1" thickBot="1">
      <c r="A45" s="466"/>
      <c r="B45" s="1385">
        <v>111</v>
      </c>
      <c r="C45" s="2695"/>
      <c r="D45" s="678">
        <v>100</v>
      </c>
      <c r="E45" s="672"/>
      <c r="F45" s="436">
        <f>SUMIF(131:131,E45,132:132)-SUMIF(131:131,C45,132:132)+100</f>
        <v>100</v>
      </c>
      <c r="G45" s="672"/>
      <c r="H45" s="436">
        <f>SUMIF(131:131,G45,132:132)-SUMIF(131:131,C45,132:132)+100</f>
        <v>100</v>
      </c>
      <c r="I45" s="672"/>
      <c r="J45" s="436">
        <f>SUMIF(131:131,I45,132:132)-SUMIF(131:131,C45,132:132)+100</f>
        <v>100</v>
      </c>
      <c r="K45" s="679"/>
      <c r="L45" s="1136"/>
      <c r="M45" s="1139"/>
      <c r="N45" s="1139"/>
      <c r="O45" s="1140"/>
      <c r="P45" s="3218"/>
      <c r="Q45" s="1807">
        <f t="shared" si="14"/>
        <v>111</v>
      </c>
      <c r="R45" s="774" t="s">
        <v>17</v>
      </c>
      <c r="S45" s="775">
        <f t="shared" si="10"/>
        <v>100</v>
      </c>
      <c r="T45" s="774" t="s">
        <v>17</v>
      </c>
      <c r="U45" s="775">
        <f t="shared" si="11"/>
        <v>100</v>
      </c>
      <c r="V45" s="774" t="s">
        <v>17</v>
      </c>
      <c r="W45" s="775">
        <f t="shared" si="12"/>
        <v>100</v>
      </c>
      <c r="X45" s="776"/>
      <c r="Y45" s="3218"/>
      <c r="Z45" s="777">
        <f t="shared" si="13"/>
        <v>111</v>
      </c>
      <c r="AA45" s="1808">
        <f t="shared" si="3"/>
        <v>1</v>
      </c>
      <c r="AB45" s="1808">
        <f t="shared" si="4"/>
        <v>1</v>
      </c>
      <c r="AC45" s="1808">
        <f t="shared" si="5"/>
        <v>1</v>
      </c>
    </row>
    <row r="46" spans="1:29" ht="15">
      <c r="A46" s="477" t="s">
        <v>2723</v>
      </c>
      <c r="B46" s="2696" t="s">
        <v>2759</v>
      </c>
      <c r="C46" s="680" t="s">
        <v>1</v>
      </c>
      <c r="D46" s="479"/>
      <c r="E46" s="480">
        <v>14956.45</v>
      </c>
      <c r="F46" s="481"/>
      <c r="G46" s="482">
        <v>13067.73</v>
      </c>
      <c r="H46" s="483"/>
      <c r="I46" s="480">
        <v>13170.47</v>
      </c>
      <c r="J46" s="483"/>
      <c r="K46" s="780"/>
      <c r="L46" s="1141"/>
      <c r="M46" s="1142"/>
      <c r="N46" s="1129"/>
      <c r="O46" s="1142"/>
      <c r="P46" s="3200" t="str">
        <f>A46</f>
        <v>成交单价</v>
      </c>
      <c r="Q46" s="3200"/>
      <c r="R46" s="3213">
        <f>E46</f>
        <v>14956.45</v>
      </c>
      <c r="S46" s="3213"/>
      <c r="T46" s="3213">
        <f>G46</f>
        <v>13067.73</v>
      </c>
      <c r="U46" s="3213"/>
      <c r="V46" s="3213">
        <f>I46</f>
        <v>13170.47</v>
      </c>
      <c r="W46" s="3213"/>
      <c r="X46" s="756"/>
      <c r="Y46" s="778"/>
      <c r="Z46" s="756"/>
      <c r="AA46" s="756"/>
      <c r="AB46" s="756"/>
      <c r="AC46" s="756"/>
    </row>
    <row r="47" spans="1:29" ht="15.75" thickBot="1">
      <c r="A47" s="484" t="s">
        <v>2672</v>
      </c>
      <c r="B47" s="681"/>
      <c r="C47" s="488">
        <f>R48</f>
        <v>13013</v>
      </c>
      <c r="D47" s="487"/>
      <c r="E47" s="488">
        <f>R47</f>
        <v>13407</v>
      </c>
      <c r="F47" s="489"/>
      <c r="G47" s="486">
        <f>T47</f>
        <v>12637</v>
      </c>
      <c r="H47" s="487"/>
      <c r="I47" s="488">
        <f>V47</f>
        <v>12996</v>
      </c>
      <c r="J47" s="487"/>
      <c r="K47" s="781"/>
      <c r="L47" s="1141"/>
      <c r="M47" s="1142"/>
      <c r="N47" s="1142"/>
      <c r="O47" s="1142"/>
      <c r="P47" s="3200" t="str">
        <f>A47</f>
        <v>比较价值（元/平方米）</v>
      </c>
      <c r="Q47" s="3200"/>
      <c r="R47" s="3219">
        <f>ROUND(PRODUCT(R46,AA7:AA45),0)</f>
        <v>13407</v>
      </c>
      <c r="S47" s="3219"/>
      <c r="T47" s="3219">
        <f>ROUND(PRODUCT(T46,AB7:AB45),0)</f>
        <v>12637</v>
      </c>
      <c r="U47" s="3219"/>
      <c r="V47" s="3219">
        <f>ROUND(PRODUCT(V46,AC7:AC45),0)</f>
        <v>12996</v>
      </c>
      <c r="W47" s="3219"/>
      <c r="X47" s="756"/>
      <c r="Y47" s="756"/>
      <c r="Z47" s="756"/>
      <c r="AA47" s="756"/>
      <c r="AB47" s="756"/>
      <c r="AC47" s="756"/>
    </row>
    <row r="48" spans="1:29" ht="15.75" thickBot="1">
      <c r="A48" s="490" t="s">
        <v>2760</v>
      </c>
      <c r="B48" s="491"/>
      <c r="C48" s="492">
        <f>R48</f>
        <v>13013</v>
      </c>
      <c r="D48" s="492"/>
      <c r="E48" s="492"/>
      <c r="F48" s="492"/>
      <c r="G48" s="492"/>
      <c r="H48" s="492"/>
      <c r="I48" s="492"/>
      <c r="J48" s="492"/>
      <c r="K48" s="782"/>
      <c r="L48" s="1141"/>
      <c r="M48" s="1142"/>
      <c r="N48" s="1142"/>
      <c r="O48" s="1142"/>
      <c r="P48" s="3220" t="str">
        <f>A48</f>
        <v>估价对象XX用房的比较价值（楼面单价，元/平方米）</v>
      </c>
      <c r="Q48" s="3221"/>
      <c r="R48" s="3222">
        <f>ROUND(AVERAGE(R47:V47),0)</f>
        <v>13013</v>
      </c>
      <c r="S48" s="3222"/>
      <c r="T48" s="3222"/>
      <c r="U48" s="3222"/>
      <c r="V48" s="3222"/>
      <c r="W48" s="3222"/>
      <c r="X48" s="756"/>
      <c r="Y48" s="756"/>
      <c r="Z48" s="756"/>
      <c r="AA48" s="756"/>
      <c r="AB48" s="756"/>
      <c r="AC48" s="756"/>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5" t="s">
        <v>2674</v>
      </c>
      <c r="D51" s="496"/>
      <c r="E51" s="497">
        <f>IF(E46&lt;E47,E47/E46-1,E46/E47-1)</f>
        <v>0.11557022450958465</v>
      </c>
      <c r="F51" s="498" t="str">
        <f>IF(OR(E51&gt;=0.3,E51&lt;=-0.3),"超过30%","")</f>
        <v/>
      </c>
      <c r="G51" s="497">
        <f>IF(G46&lt;G47,G47/G46-1,G46/G47-1)</f>
        <v>3.4084830260346477E-2</v>
      </c>
      <c r="H51" s="498" t="str">
        <f>IF(OR(G51&gt;=0.3,G51&lt;=-0.3),"超过30%","")</f>
        <v/>
      </c>
      <c r="I51" s="497">
        <f>IF(I46&lt;I47,I47/I46-1,I46/I47-1)</f>
        <v>1.3424899969221249E-2</v>
      </c>
      <c r="J51" s="498" t="str">
        <f>IF(OR(I51&gt;=0.3,I51&lt;=-0.3),"超过30%","")</f>
        <v/>
      </c>
      <c r="K51" s="1103"/>
      <c r="L51" s="1104"/>
      <c r="M51" s="1142"/>
      <c r="N51" s="1142"/>
      <c r="O51" s="1142"/>
    </row>
    <row r="52" spans="1:15" ht="13.5" customHeight="1">
      <c r="A52" s="1142"/>
      <c r="B52" s="1142"/>
      <c r="C52" s="495" t="s">
        <v>2675</v>
      </c>
      <c r="D52" s="499"/>
      <c r="E52" s="497">
        <f>IF(E47&lt;G47,G47/E47-1,E47/G47-1)</f>
        <v>6.0932183271346085E-2</v>
      </c>
      <c r="F52" s="498" t="str">
        <f>IF(OR(E52&gt;=0.2,E52&lt;=-0.2),"超过20%","")</f>
        <v/>
      </c>
      <c r="G52" s="497">
        <f>IF(G47&lt;I47,I47/G47-1,G47/I47-1)</f>
        <v>2.8408641291445713E-2</v>
      </c>
      <c r="H52" s="498" t="str">
        <f>IF(OR(G52&gt;=0.2,G52&lt;=-0.2),"超过20%","")</f>
        <v/>
      </c>
      <c r="I52" s="497">
        <f>IF(I47&lt;E47,E47/I47-1,I47/E47-1)</f>
        <v>3.1625115420129246E-2</v>
      </c>
      <c r="J52" s="498" t="str">
        <f>IF(OR(I52&gt;=0.2,I52&lt;=-0.2),"超过20%","")</f>
        <v/>
      </c>
      <c r="K52" s="1103"/>
      <c r="L52" s="1104"/>
      <c r="M52" s="1142"/>
      <c r="N52" s="1142"/>
      <c r="O52" s="1142"/>
    </row>
    <row r="53" spans="1:15" s="500" customFormat="1" ht="13.5" customHeight="1">
      <c r="A53" s="1143"/>
      <c r="B53" s="1143"/>
      <c r="C53" s="495" t="s">
        <v>2676</v>
      </c>
      <c r="D53" s="499"/>
      <c r="E53" s="497">
        <f>IF(E46&lt;G46,G46/E46-1,E46/G46-1)</f>
        <v>0.14453313620651809</v>
      </c>
      <c r="F53" s="498" t="str">
        <f>IF(OR(E53&gt;=0.3,E53&lt;=-0.3),"超过30%","")</f>
        <v/>
      </c>
      <c r="G53" s="497">
        <f>IF(G46&lt;I46,I46/G46-1,G46/I46-1)</f>
        <v>7.8621153023517021E-3</v>
      </c>
      <c r="H53" s="498" t="str">
        <f>IF(OR(G53&gt;=0.3,G53&lt;=-0.3),"超过30%","")</f>
        <v/>
      </c>
      <c r="I53" s="497">
        <f>IF(I46&lt;E46,E46/I46-1,I46/E46-1)</f>
        <v>0.13560487970436896</v>
      </c>
      <c r="J53" s="498" t="str">
        <f>IF(OR(I53&gt;=0.3,I53&lt;=-0.3),"超过30%","")</f>
        <v/>
      </c>
      <c r="K53" s="1146"/>
      <c r="L53" s="1147"/>
      <c r="M53" s="1143"/>
      <c r="N53" s="1143"/>
      <c r="O53" s="1143"/>
    </row>
    <row r="54" spans="1:15" s="500" customFormat="1" ht="15" thickBot="1">
      <c r="A54" s="1143"/>
      <c r="B54" s="1144"/>
      <c r="C54" s="759"/>
      <c r="D54" s="757"/>
      <c r="E54" s="757"/>
      <c r="F54" s="757"/>
      <c r="G54" s="757"/>
      <c r="H54" s="757"/>
      <c r="I54" s="757"/>
      <c r="J54" s="757"/>
      <c r="K54" s="1146"/>
      <c r="L54" s="1147"/>
      <c r="M54" s="1143"/>
      <c r="N54" s="1143"/>
      <c r="O54" s="1143"/>
    </row>
    <row r="55" spans="1:15" ht="27" customHeight="1">
      <c r="A55" s="682" t="s">
        <v>2761</v>
      </c>
      <c r="B55" s="683" t="s">
        <v>2762</v>
      </c>
      <c r="C55" s="2697" t="s">
        <v>2763</v>
      </c>
      <c r="D55" s="2698" t="s">
        <v>2764</v>
      </c>
      <c r="E55" s="684" t="s">
        <v>2765</v>
      </c>
      <c r="F55" s="1105" t="s">
        <v>2766</v>
      </c>
      <c r="G55" s="3201" t="s">
        <v>2767</v>
      </c>
      <c r="H55" s="3223"/>
      <c r="I55" s="141" t="s">
        <v>2768</v>
      </c>
      <c r="J55" s="2699" t="str">
        <f>项目基本情况!F35</f>
        <v>山东省济南市</v>
      </c>
      <c r="K55" s="2700" t="s">
        <v>2769</v>
      </c>
      <c r="L55" s="1104"/>
      <c r="M55" s="1142"/>
      <c r="N55" s="1142"/>
      <c r="O55" s="1142"/>
    </row>
    <row r="56" spans="1:15" s="690" customFormat="1">
      <c r="A56" s="686" t="s">
        <v>2770</v>
      </c>
      <c r="B56" s="687">
        <f>C48</f>
        <v>13013</v>
      </c>
      <c r="C56" s="688">
        <v>1</v>
      </c>
      <c r="D56" s="1161">
        <v>1</v>
      </c>
      <c r="E56" s="688">
        <f>'数据-汇总表'!E8+'数据-汇总表'!E9</f>
        <v>54277.58</v>
      </c>
      <c r="F56" s="1101">
        <f t="shared" ref="F56:F65" si="15">ROUND(B56*E56/10000,0)</f>
        <v>70631</v>
      </c>
      <c r="G56" s="3224"/>
      <c r="H56" s="3200"/>
      <c r="I56" s="1106">
        <v>1</v>
      </c>
      <c r="J56" s="1109">
        <v>1</v>
      </c>
      <c r="K56" s="1143"/>
      <c r="L56" s="939"/>
      <c r="M56" s="939"/>
      <c r="N56" s="939"/>
      <c r="O56" s="939"/>
    </row>
    <row r="57" spans="1:15" s="690" customFormat="1">
      <c r="A57" s="691" t="s">
        <v>2771</v>
      </c>
      <c r="B57" s="260">
        <f>ROUND($C$48*C57*D57,0)</f>
        <v>0</v>
      </c>
      <c r="C57" s="198">
        <f t="shared" ref="C57:C65" si="16">IF($C$55="北京市系数",I57,J57)</f>
        <v>0</v>
      </c>
      <c r="D57" s="1162">
        <v>0.25</v>
      </c>
      <c r="E57" s="692"/>
      <c r="F57" s="1101">
        <f t="shared" si="15"/>
        <v>0</v>
      </c>
      <c r="G57" s="3225" t="s">
        <v>2772</v>
      </c>
      <c r="H57" s="1102">
        <f>项目基本情况!B37</f>
        <v>0</v>
      </c>
      <c r="I57" s="1106">
        <f>SUMIF(修正!A45:A56,H57,修正!B45:B56)</f>
        <v>0</v>
      </c>
      <c r="J57" s="1110"/>
      <c r="K57" s="1142"/>
      <c r="L57" s="939"/>
      <c r="M57" s="939"/>
      <c r="N57" s="939"/>
      <c r="O57" s="939"/>
    </row>
    <row r="58" spans="1:15" s="690" customFormat="1">
      <c r="A58" s="691" t="s">
        <v>2773</v>
      </c>
      <c r="B58" s="260">
        <f t="shared" ref="B58:B65" si="17">ROUND($C$48*C58*D58,0)</f>
        <v>0</v>
      </c>
      <c r="C58" s="198">
        <f t="shared" si="16"/>
        <v>0</v>
      </c>
      <c r="D58" s="1162">
        <v>0.25</v>
      </c>
      <c r="E58" s="692"/>
      <c r="F58" s="1101">
        <f t="shared" si="15"/>
        <v>0</v>
      </c>
      <c r="G58" s="3225"/>
      <c r="H58" s="1102">
        <f>项目基本情况!B37</f>
        <v>0</v>
      </c>
      <c r="I58" s="1106">
        <f>SUMIF(修正!A45:A56,H58,修正!C45:C56)</f>
        <v>0</v>
      </c>
      <c r="J58" s="1110"/>
      <c r="K58" s="1143"/>
      <c r="L58" s="939"/>
      <c r="M58" s="939"/>
      <c r="N58" s="939"/>
      <c r="O58" s="939"/>
    </row>
    <row r="59" spans="1:15" s="690" customFormat="1">
      <c r="A59" s="691" t="s">
        <v>2774</v>
      </c>
      <c r="B59" s="260">
        <f t="shared" si="17"/>
        <v>0</v>
      </c>
      <c r="C59" s="198">
        <f t="shared" si="16"/>
        <v>0</v>
      </c>
      <c r="D59" s="1162">
        <v>0.25</v>
      </c>
      <c r="E59" s="692"/>
      <c r="F59" s="1101">
        <f t="shared" si="15"/>
        <v>0</v>
      </c>
      <c r="G59" s="3225"/>
      <c r="H59" s="1102">
        <f>项目基本情况!B37</f>
        <v>0</v>
      </c>
      <c r="I59" s="1106">
        <f>SUMIF(修正!A45:A56,H59,修正!D45:D56)</f>
        <v>0</v>
      </c>
      <c r="J59" s="1110"/>
      <c r="K59" s="1142"/>
      <c r="L59" s="939"/>
      <c r="M59" s="939"/>
      <c r="N59" s="939"/>
      <c r="O59" s="939"/>
    </row>
    <row r="60" spans="1:15" s="690" customFormat="1">
      <c r="A60" s="691" t="s">
        <v>2775</v>
      </c>
      <c r="B60" s="260">
        <f t="shared" si="17"/>
        <v>0</v>
      </c>
      <c r="C60" s="198">
        <f t="shared" si="16"/>
        <v>0</v>
      </c>
      <c r="D60" s="1162">
        <v>0.25</v>
      </c>
      <c r="E60" s="692"/>
      <c r="F60" s="1101">
        <f t="shared" si="15"/>
        <v>0</v>
      </c>
      <c r="G60" s="3225"/>
      <c r="H60" s="1102">
        <f>项目基本情况!B37</f>
        <v>0</v>
      </c>
      <c r="I60" s="1106">
        <f>SUMIF(修正!A45:A56,H60,修正!E45:E56)</f>
        <v>0</v>
      </c>
      <c r="J60" s="1110"/>
      <c r="K60" s="1143"/>
      <c r="L60" s="939"/>
      <c r="M60" s="939"/>
      <c r="N60" s="939"/>
      <c r="O60" s="939"/>
    </row>
    <row r="61" spans="1:15" s="690" customFormat="1">
      <c r="A61" s="691" t="s">
        <v>2776</v>
      </c>
      <c r="B61" s="260">
        <f t="shared" si="17"/>
        <v>0</v>
      </c>
      <c r="C61" s="198">
        <f t="shared" si="16"/>
        <v>0</v>
      </c>
      <c r="D61" s="1162">
        <v>0.25</v>
      </c>
      <c r="E61" s="259">
        <f>'数据-汇总表'!E11</f>
        <v>121.22</v>
      </c>
      <c r="F61" s="1101">
        <f t="shared" si="15"/>
        <v>0</v>
      </c>
      <c r="G61" s="2701" t="s">
        <v>2777</v>
      </c>
      <c r="H61" s="1102">
        <f>项目基本情况!C37</f>
        <v>0</v>
      </c>
      <c r="I61" s="1106">
        <f>SUMIF(修正!A45:A56,H61,修正!F45:F56)</f>
        <v>0</v>
      </c>
      <c r="J61" s="1110"/>
      <c r="K61" s="1142"/>
      <c r="L61" s="939"/>
      <c r="M61" s="939"/>
      <c r="N61" s="939"/>
      <c r="O61" s="939"/>
    </row>
    <row r="62" spans="1:15" s="690" customFormat="1">
      <c r="A62" s="691" t="s">
        <v>2778</v>
      </c>
      <c r="B62" s="260">
        <f t="shared" si="17"/>
        <v>0</v>
      </c>
      <c r="C62" s="198">
        <f t="shared" si="16"/>
        <v>0</v>
      </c>
      <c r="D62" s="1162">
        <v>0.25</v>
      </c>
      <c r="E62" s="259">
        <f>'数据-汇总表'!E12</f>
        <v>0</v>
      </c>
      <c r="F62" s="1101">
        <f t="shared" si="15"/>
        <v>0</v>
      </c>
      <c r="G62" s="1107" t="s">
        <v>2779</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0" customFormat="1">
      <c r="A63" s="691" t="s">
        <v>2780</v>
      </c>
      <c r="B63" s="260">
        <f t="shared" si="17"/>
        <v>0</v>
      </c>
      <c r="C63" s="198">
        <f t="shared" si="16"/>
        <v>0</v>
      </c>
      <c r="D63" s="1162">
        <v>0.25</v>
      </c>
      <c r="E63" s="259">
        <f>'数据-汇总表'!E13</f>
        <v>10484.65</v>
      </c>
      <c r="F63" s="1101">
        <f t="shared" si="15"/>
        <v>0</v>
      </c>
      <c r="G63" s="1107" t="s">
        <v>2781</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0" customFormat="1">
      <c r="A64" s="691" t="s">
        <v>2782</v>
      </c>
      <c r="B64" s="260">
        <f t="shared" si="17"/>
        <v>0</v>
      </c>
      <c r="C64" s="198">
        <f t="shared" si="16"/>
        <v>0</v>
      </c>
      <c r="D64" s="1162">
        <v>0.25</v>
      </c>
      <c r="E64" s="259">
        <f>'数据-汇总表'!E14</f>
        <v>0</v>
      </c>
      <c r="F64" s="1101">
        <f t="shared" si="15"/>
        <v>0</v>
      </c>
      <c r="G64" s="2701" t="s">
        <v>2772</v>
      </c>
      <c r="H64" s="1102">
        <f>项目基本情况!B37</f>
        <v>0</v>
      </c>
      <c r="I64" s="1106">
        <f>SUMIF(修正!A45:A56,H64,修正!H45:H56)</f>
        <v>0</v>
      </c>
      <c r="J64" s="1110"/>
      <c r="K64" s="1143"/>
      <c r="L64" s="939"/>
      <c r="M64" s="939"/>
      <c r="N64" s="939"/>
      <c r="O64" s="939"/>
    </row>
    <row r="65" spans="1:17" s="690" customFormat="1" ht="15" thickBot="1">
      <c r="A65" s="691" t="s">
        <v>2783</v>
      </c>
      <c r="B65" s="260">
        <f t="shared" si="17"/>
        <v>0</v>
      </c>
      <c r="C65" s="198">
        <f t="shared" si="16"/>
        <v>0</v>
      </c>
      <c r="D65" s="1162">
        <v>0.25</v>
      </c>
      <c r="E65" s="259">
        <f>'数据-汇总表'!E15</f>
        <v>0</v>
      </c>
      <c r="F65" s="1101">
        <f t="shared" si="15"/>
        <v>0</v>
      </c>
      <c r="G65" s="2702" t="s">
        <v>2777</v>
      </c>
      <c r="H65" s="1112">
        <f>项目基本情况!C37</f>
        <v>0</v>
      </c>
      <c r="I65" s="1108">
        <f>SUMIF(修正!A45:A56,H65,修正!H45:H56)</f>
        <v>0</v>
      </c>
      <c r="J65" s="1111"/>
      <c r="K65" s="1142"/>
      <c r="L65" s="939"/>
      <c r="M65" s="939"/>
      <c r="N65" s="939"/>
      <c r="O65" s="939"/>
    </row>
    <row r="66" spans="1:17" s="690" customFormat="1" ht="13.5" thickBot="1">
      <c r="A66" s="693" t="s">
        <v>2784</v>
      </c>
      <c r="B66" s="694" t="s">
        <v>28</v>
      </c>
      <c r="C66" s="694" t="s">
        <v>29</v>
      </c>
      <c r="D66" s="694" t="s">
        <v>1029</v>
      </c>
      <c r="E66" s="694">
        <f>IF(B46="楼面地价",SUM(E56:E65),'数据-汇总表'!D3)</f>
        <v>64883.450000000004</v>
      </c>
      <c r="F66" s="695">
        <f>IF(B46="楼面地价",SUM(F56:F65),ROUND(C48*E66/10000,0))</f>
        <v>70631</v>
      </c>
      <c r="G66" s="784"/>
      <c r="H66" s="784"/>
      <c r="I66" s="784"/>
      <c r="J66" s="784"/>
      <c r="K66" s="1156"/>
      <c r="L66" s="939"/>
      <c r="M66" s="939"/>
      <c r="N66" s="939"/>
      <c r="O66" s="939"/>
    </row>
    <row r="67" spans="1:17">
      <c r="A67" s="756"/>
      <c r="B67" s="758"/>
      <c r="C67" s="759"/>
      <c r="D67" s="756"/>
      <c r="E67" s="756"/>
      <c r="F67" s="756"/>
      <c r="G67" s="756"/>
      <c r="H67" s="756"/>
      <c r="I67" s="756"/>
      <c r="J67" s="1142"/>
      <c r="K67" s="1103"/>
      <c r="L67" s="1104"/>
      <c r="M67" s="1142"/>
      <c r="N67" s="1142"/>
      <c r="O67" s="1142"/>
    </row>
    <row r="68" spans="1:17">
      <c r="A68" s="756"/>
      <c r="B68" s="758"/>
      <c r="C68" s="758" t="str">
        <f>YEAR(C7)&amp;"-"&amp;MONTH(C7)&amp;"-1"</f>
        <v>2017-11-1</v>
      </c>
      <c r="D68" s="758">
        <f>EDATE(C68,-3)</f>
        <v>42948</v>
      </c>
      <c r="E68" s="758">
        <f>EDATE(D68,-3)</f>
        <v>42856</v>
      </c>
      <c r="F68" s="758">
        <f t="shared" ref="F68:O68" si="18">EDATE(E68,-3)</f>
        <v>42767</v>
      </c>
      <c r="G68" s="758">
        <f t="shared" si="18"/>
        <v>42675</v>
      </c>
      <c r="H68" s="758">
        <f t="shared" si="18"/>
        <v>42583</v>
      </c>
      <c r="I68" s="758">
        <f t="shared" si="18"/>
        <v>42491</v>
      </c>
      <c r="J68" s="758">
        <f t="shared" si="18"/>
        <v>42401</v>
      </c>
      <c r="K68" s="758">
        <f t="shared" si="18"/>
        <v>42309</v>
      </c>
      <c r="L68" s="758">
        <f t="shared" si="18"/>
        <v>42217</v>
      </c>
      <c r="M68" s="758">
        <f t="shared" si="18"/>
        <v>42125</v>
      </c>
      <c r="N68" s="758">
        <f t="shared" si="18"/>
        <v>42036</v>
      </c>
      <c r="O68" s="758">
        <f t="shared" si="18"/>
        <v>41944</v>
      </c>
    </row>
    <row r="69" spans="1:17" ht="21.75" thickBot="1">
      <c r="A69" s="760" t="s">
        <v>2677</v>
      </c>
      <c r="B69" s="756"/>
      <c r="C69" s="761"/>
      <c r="D69" s="761"/>
      <c r="E69" s="761"/>
      <c r="F69" s="762"/>
      <c r="G69" s="762"/>
      <c r="H69" s="761"/>
      <c r="I69" s="761"/>
      <c r="J69" s="1157"/>
      <c r="K69" s="1158"/>
      <c r="L69" s="1159"/>
      <c r="M69" s="1157"/>
      <c r="N69" s="1157"/>
      <c r="O69" s="1157"/>
      <c r="P69" s="501"/>
      <c r="Q69" s="502"/>
    </row>
    <row r="70" spans="1:17" s="506" customFormat="1" ht="15">
      <c r="A70" s="2703" t="s">
        <v>2785</v>
      </c>
      <c r="B70" s="1357"/>
      <c r="C70" s="1570" t="str">
        <f>YEAR(C68)&amp;"-"&amp;ROUNDUP(MONTH(C68)/3,0)</f>
        <v>2017-4</v>
      </c>
      <c r="D70" s="1570" t="str">
        <f>YEAR(D68)&amp;"-"&amp;ROUNDUP(MONTH(D68)/3,0)</f>
        <v>2017-3</v>
      </c>
      <c r="E70" s="1570" t="str">
        <f t="shared" ref="E70:O70" si="19">YEAR(E68)&amp;"-"&amp;ROUNDUP(MONTH(E68)/3,0)</f>
        <v>2017-2</v>
      </c>
      <c r="F70" s="1570" t="str">
        <f t="shared" si="19"/>
        <v>2017-1</v>
      </c>
      <c r="G70" s="1570" t="str">
        <f t="shared" si="19"/>
        <v>2016-4</v>
      </c>
      <c r="H70" s="1570" t="str">
        <f t="shared" si="19"/>
        <v>2016-3</v>
      </c>
      <c r="I70" s="1570" t="str">
        <f t="shared" si="19"/>
        <v>2016-2</v>
      </c>
      <c r="J70" s="1570" t="str">
        <f t="shared" si="19"/>
        <v>2016-1</v>
      </c>
      <c r="K70" s="1570" t="str">
        <f t="shared" si="19"/>
        <v>2015-4</v>
      </c>
      <c r="L70" s="1570" t="str">
        <f t="shared" si="19"/>
        <v>2015-3</v>
      </c>
      <c r="M70" s="1570" t="str">
        <f t="shared" si="19"/>
        <v>2015-2</v>
      </c>
      <c r="N70" s="1570" t="str">
        <f t="shared" si="19"/>
        <v>2015-1</v>
      </c>
      <c r="O70" s="1570" t="str">
        <f t="shared" si="19"/>
        <v>2014-4</v>
      </c>
      <c r="P70" s="505"/>
    </row>
    <row r="71" spans="1:17" s="115" customFormat="1" ht="30" customHeight="1">
      <c r="A71" s="2704" t="s">
        <v>2786</v>
      </c>
      <c r="B71" s="330" t="str">
        <f>"北京市平均增长率"&amp;TEXT(SUMIF(基准地价修正!N21:N25,A71,基准地价修正!P21:P25),"0.00%")</f>
        <v>北京市平均增长率2.78%</v>
      </c>
      <c r="C71" s="601">
        <v>100</v>
      </c>
      <c r="D71" s="593">
        <v>99.5</v>
      </c>
      <c r="E71" s="2938">
        <v>99</v>
      </c>
      <c r="F71" s="593">
        <v>98.5</v>
      </c>
      <c r="G71" s="2938">
        <v>98</v>
      </c>
      <c r="H71" s="593">
        <v>97.5</v>
      </c>
      <c r="I71" s="2938">
        <v>97</v>
      </c>
      <c r="J71" s="593">
        <v>96.5</v>
      </c>
      <c r="K71" s="2938">
        <v>96</v>
      </c>
      <c r="L71" s="593">
        <v>95.5</v>
      </c>
      <c r="M71" s="1565"/>
      <c r="N71" s="593"/>
      <c r="O71" s="1566"/>
      <c r="P71" s="502"/>
    </row>
    <row r="72" spans="1:17" s="115" customFormat="1" ht="15.75" thickBot="1">
      <c r="A72" s="513" t="s">
        <v>2588</v>
      </c>
      <c r="B72" s="514"/>
      <c r="C72" s="515"/>
      <c r="D72" s="516"/>
      <c r="E72" s="516"/>
      <c r="F72" s="516"/>
      <c r="G72" s="516"/>
      <c r="H72" s="516"/>
      <c r="I72" s="516"/>
      <c r="J72" s="516"/>
      <c r="K72" s="516"/>
      <c r="L72" s="516"/>
      <c r="M72" s="517"/>
      <c r="N72" s="516"/>
      <c r="O72" s="1160"/>
      <c r="P72" s="502"/>
      <c r="Q72" s="502"/>
    </row>
    <row r="73" spans="1:17" s="115" customFormat="1" ht="15">
      <c r="A73" s="519" t="s">
        <v>2553</v>
      </c>
      <c r="B73" s="508"/>
      <c r="C73" s="520" t="s">
        <v>2655</v>
      </c>
      <c r="D73" s="521"/>
      <c r="E73" s="521"/>
      <c r="F73" s="521"/>
      <c r="G73" s="521"/>
      <c r="H73" s="521"/>
      <c r="I73" s="521"/>
      <c r="J73" s="521"/>
      <c r="K73" s="521"/>
      <c r="L73" s="522"/>
      <c r="M73" s="523"/>
      <c r="N73" s="1149"/>
      <c r="O73" s="1149"/>
      <c r="P73" s="524"/>
      <c r="Q73" s="502"/>
    </row>
    <row r="74" spans="1:17" s="115" customFormat="1" ht="15.75" thickBot="1">
      <c r="A74" s="519"/>
      <c r="B74" s="508"/>
      <c r="C74" s="637">
        <v>100</v>
      </c>
      <c r="D74" s="510"/>
      <c r="E74" s="510"/>
      <c r="F74" s="510"/>
      <c r="G74" s="510"/>
      <c r="H74" s="510"/>
      <c r="I74" s="510"/>
      <c r="J74" s="510"/>
      <c r="K74" s="510"/>
      <c r="L74" s="510"/>
      <c r="M74" s="512"/>
      <c r="N74" s="1149"/>
      <c r="O74" s="1149"/>
      <c r="P74" s="502"/>
      <c r="Q74" s="502"/>
    </row>
    <row r="75" spans="1:17">
      <c r="A75" s="525" t="s">
        <v>2591</v>
      </c>
      <c r="B75" s="526" t="s">
        <v>2557</v>
      </c>
      <c r="C75" s="2939" t="s">
        <v>3109</v>
      </c>
      <c r="D75" s="528"/>
      <c r="E75" s="528"/>
      <c r="F75" s="528"/>
      <c r="G75" s="528"/>
      <c r="H75" s="528"/>
      <c r="I75" s="528"/>
      <c r="J75" s="528"/>
      <c r="K75" s="529"/>
      <c r="L75" s="530"/>
      <c r="M75" s="531"/>
      <c r="N75" s="1150"/>
      <c r="O75" s="1150"/>
      <c r="P75" s="45"/>
      <c r="Q75" s="502"/>
    </row>
    <row r="76" spans="1:17" ht="15.75" thickBot="1">
      <c r="A76" s="532"/>
      <c r="B76" s="533"/>
      <c r="C76" s="534">
        <v>100</v>
      </c>
      <c r="D76" s="534"/>
      <c r="E76" s="534"/>
      <c r="F76" s="534"/>
      <c r="G76" s="534"/>
      <c r="H76" s="534"/>
      <c r="I76" s="534"/>
      <c r="J76" s="534"/>
      <c r="K76" s="534"/>
      <c r="L76" s="534"/>
      <c r="M76" s="535"/>
      <c r="N76" s="1151"/>
      <c r="O76" s="1151"/>
      <c r="P76" s="45"/>
      <c r="Q76" s="502"/>
    </row>
    <row r="77" spans="1:17" ht="15.75" thickTop="1">
      <c r="A77" s="532"/>
      <c r="B77" s="536" t="s">
        <v>2560</v>
      </c>
      <c r="C77" s="537"/>
      <c r="D77" s="537"/>
      <c r="E77" s="537"/>
      <c r="F77" s="537"/>
      <c r="G77" s="537"/>
      <c r="H77" s="537"/>
      <c r="I77" s="537"/>
      <c r="J77" s="537"/>
      <c r="K77" s="538"/>
      <c r="L77" s="539"/>
      <c r="M77" s="540"/>
      <c r="N77" s="1150"/>
      <c r="O77" s="1150"/>
      <c r="P77" s="45"/>
      <c r="Q77" s="502"/>
    </row>
    <row r="78" spans="1:17" ht="15.75" thickBot="1">
      <c r="A78" s="532"/>
      <c r="B78" s="541"/>
      <c r="C78" s="542"/>
      <c r="D78" s="542"/>
      <c r="E78" s="542"/>
      <c r="F78" s="542"/>
      <c r="G78" s="542"/>
      <c r="H78" s="542"/>
      <c r="I78" s="542"/>
      <c r="J78" s="542"/>
      <c r="K78" s="542"/>
      <c r="L78" s="542"/>
      <c r="M78" s="543"/>
      <c r="N78" s="1151"/>
      <c r="O78" s="1151"/>
      <c r="P78" s="45"/>
      <c r="Q78" s="502"/>
    </row>
    <row r="79" spans="1:17" ht="15.75" thickTop="1">
      <c r="A79" s="532"/>
      <c r="B79" s="544" t="s">
        <v>2561</v>
      </c>
      <c r="C79" s="545" t="str">
        <f>C80&amp;"（含）"&amp;"-"&amp;D80</f>
        <v>1（含）-2</v>
      </c>
      <c r="D79" s="545" t="str">
        <f t="shared" ref="D79:L79" si="20">D80&amp;"（含）"&amp;"-"&amp;E80</f>
        <v>2（含）-3</v>
      </c>
      <c r="E79" s="545" t="str">
        <f t="shared" si="20"/>
        <v>3（含）-4</v>
      </c>
      <c r="F79" s="545" t="str">
        <f t="shared" si="20"/>
        <v>4（含）-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51"/>
      <c r="O79" s="1151"/>
      <c r="P79" s="45"/>
      <c r="Q79" s="502"/>
    </row>
    <row r="80" spans="1:17" ht="15">
      <c r="A80" s="532"/>
      <c r="B80" s="546"/>
      <c r="C80" s="547">
        <v>1</v>
      </c>
      <c r="D80" s="547">
        <v>2</v>
      </c>
      <c r="E80" s="547">
        <v>3</v>
      </c>
      <c r="F80" s="547">
        <v>4</v>
      </c>
      <c r="G80" s="547"/>
      <c r="H80" s="547"/>
      <c r="I80" s="547"/>
      <c r="J80" s="547"/>
      <c r="K80" s="548"/>
      <c r="L80" s="549"/>
      <c r="M80" s="550"/>
      <c r="N80" s="1150"/>
      <c r="O80" s="1150"/>
      <c r="P80" s="45"/>
      <c r="Q80" s="502"/>
    </row>
    <row r="81" spans="1:17" ht="15.75" thickBot="1">
      <c r="A81" s="532"/>
      <c r="B81" s="533"/>
      <c r="C81" s="542">
        <v>100</v>
      </c>
      <c r="D81" s="542">
        <f t="shared" ref="D81:M81" si="21">IF($B$46="单位面积地价",C81+$K11,C81-$K11)</f>
        <v>95</v>
      </c>
      <c r="E81" s="542">
        <f t="shared" si="21"/>
        <v>90</v>
      </c>
      <c r="F81" s="542">
        <f t="shared" si="21"/>
        <v>85</v>
      </c>
      <c r="G81" s="542">
        <f t="shared" si="21"/>
        <v>80</v>
      </c>
      <c r="H81" s="542">
        <f t="shared" si="21"/>
        <v>75</v>
      </c>
      <c r="I81" s="542">
        <f t="shared" si="21"/>
        <v>70</v>
      </c>
      <c r="J81" s="542">
        <f t="shared" si="21"/>
        <v>65</v>
      </c>
      <c r="K81" s="542">
        <f t="shared" si="21"/>
        <v>60</v>
      </c>
      <c r="L81" s="542">
        <f t="shared" si="21"/>
        <v>55</v>
      </c>
      <c r="M81" s="542">
        <f t="shared" si="21"/>
        <v>50</v>
      </c>
      <c r="N81" s="1151"/>
      <c r="O81" s="1151"/>
      <c r="P81" s="45"/>
      <c r="Q81" s="502"/>
    </row>
    <row r="82" spans="1:17" s="469" customFormat="1" ht="15.75" thickTop="1">
      <c r="A82" s="551"/>
      <c r="B82" s="536" t="str">
        <f>B12</f>
        <v>配建</v>
      </c>
      <c r="C82" s="552"/>
      <c r="D82" s="552"/>
      <c r="E82" s="552"/>
      <c r="F82" s="552"/>
      <c r="G82" s="552"/>
      <c r="H82" s="553"/>
      <c r="I82" s="553"/>
      <c r="J82" s="553"/>
      <c r="K82" s="553"/>
      <c r="L82" s="554"/>
      <c r="M82" s="555"/>
      <c r="N82" s="1152"/>
      <c r="O82" s="1152"/>
      <c r="P82" s="556"/>
      <c r="Q82" s="557"/>
    </row>
    <row r="83" spans="1:17" s="469" customFormat="1" ht="15.75" thickBot="1">
      <c r="A83" s="551"/>
      <c r="B83" s="541"/>
      <c r="C83" s="558"/>
      <c r="D83" s="534"/>
      <c r="E83" s="534"/>
      <c r="F83" s="534"/>
      <c r="G83" s="534"/>
      <c r="H83" s="534"/>
      <c r="I83" s="534"/>
      <c r="J83" s="534"/>
      <c r="K83" s="534"/>
      <c r="L83" s="534"/>
      <c r="M83" s="535"/>
      <c r="N83" s="1151"/>
      <c r="O83" s="1151"/>
      <c r="P83" s="556"/>
      <c r="Q83" s="557"/>
    </row>
    <row r="84" spans="1:17" s="469" customFormat="1" ht="15.75" thickTop="1">
      <c r="A84" s="551"/>
      <c r="B84" s="536">
        <f>B13</f>
        <v>111</v>
      </c>
      <c r="C84" s="552"/>
      <c r="D84" s="552"/>
      <c r="E84" s="552"/>
      <c r="F84" s="552"/>
      <c r="G84" s="552"/>
      <c r="H84" s="553"/>
      <c r="I84" s="553"/>
      <c r="J84" s="553"/>
      <c r="K84" s="553"/>
      <c r="L84" s="554"/>
      <c r="M84" s="555"/>
      <c r="N84" s="1152"/>
      <c r="O84" s="1152"/>
      <c r="P84" s="468"/>
      <c r="Q84" s="559"/>
    </row>
    <row r="85" spans="1:17" s="469" customFormat="1" ht="15.75" thickBot="1">
      <c r="A85" s="551"/>
      <c r="B85" s="541"/>
      <c r="C85" s="558"/>
      <c r="D85" s="558"/>
      <c r="E85" s="558"/>
      <c r="F85" s="558"/>
      <c r="G85" s="558"/>
      <c r="H85" s="560"/>
      <c r="I85" s="560"/>
      <c r="J85" s="560"/>
      <c r="K85" s="560"/>
      <c r="L85" s="560"/>
      <c r="M85" s="561"/>
      <c r="N85" s="1152"/>
      <c r="O85" s="1152"/>
      <c r="P85" s="556"/>
      <c r="Q85" s="557"/>
    </row>
    <row r="86" spans="1:17" s="469" customFormat="1" ht="15.75" thickTop="1">
      <c r="A86" s="551"/>
      <c r="B86" s="544">
        <f>B14</f>
        <v>111</v>
      </c>
      <c r="C86" s="521"/>
      <c r="D86" s="521"/>
      <c r="E86" s="521"/>
      <c r="F86" s="521"/>
      <c r="G86" s="521"/>
      <c r="H86" s="562"/>
      <c r="I86" s="562"/>
      <c r="J86" s="562"/>
      <c r="K86" s="562"/>
      <c r="L86" s="563"/>
      <c r="M86" s="564"/>
      <c r="N86" s="1152"/>
      <c r="O86" s="1152"/>
      <c r="P86" s="565"/>
      <c r="Q86" s="557"/>
    </row>
    <row r="87" spans="1:17" s="469" customFormat="1" ht="15.75" thickBot="1">
      <c r="A87" s="566"/>
      <c r="B87" s="567"/>
      <c r="C87" s="568"/>
      <c r="D87" s="568"/>
      <c r="E87" s="568"/>
      <c r="F87" s="568"/>
      <c r="G87" s="568"/>
      <c r="H87" s="569"/>
      <c r="I87" s="569"/>
      <c r="J87" s="569"/>
      <c r="K87" s="569"/>
      <c r="L87" s="569"/>
      <c r="M87" s="570"/>
      <c r="N87" s="1152"/>
      <c r="O87" s="1152"/>
      <c r="P87" s="556"/>
      <c r="Q87" s="557"/>
    </row>
    <row r="88" spans="1:17">
      <c r="A88" s="525" t="s">
        <v>2562</v>
      </c>
      <c r="B88" s="526" t="s">
        <v>2599</v>
      </c>
      <c r="C88" s="571" t="s">
        <v>2600</v>
      </c>
      <c r="D88" s="571" t="s">
        <v>2601</v>
      </c>
      <c r="E88" s="571" t="s">
        <v>2602</v>
      </c>
      <c r="F88" s="571" t="s">
        <v>2603</v>
      </c>
      <c r="G88" s="571" t="s">
        <v>2604</v>
      </c>
      <c r="H88" s="527"/>
      <c r="I88" s="527"/>
      <c r="J88" s="527"/>
      <c r="K88" s="572"/>
      <c r="L88" s="573"/>
      <c r="M88" s="574"/>
      <c r="N88" s="1150"/>
      <c r="O88" s="1150"/>
      <c r="P88" s="575"/>
      <c r="Q88" s="502"/>
    </row>
    <row r="89" spans="1:17" ht="15.75" thickBot="1">
      <c r="A89" s="532"/>
      <c r="B89" s="541"/>
      <c r="C89" s="542">
        <v>100</v>
      </c>
      <c r="D89" s="542">
        <f>C89-$K15</f>
        <v>95</v>
      </c>
      <c r="E89" s="542">
        <f>D89-$K15</f>
        <v>90</v>
      </c>
      <c r="F89" s="542">
        <f>E89-$K15</f>
        <v>85</v>
      </c>
      <c r="G89" s="542">
        <f>F89-$K15</f>
        <v>80</v>
      </c>
      <c r="H89" s="542"/>
      <c r="I89" s="542"/>
      <c r="J89" s="542"/>
      <c r="K89" s="542"/>
      <c r="L89" s="542"/>
      <c r="M89" s="543"/>
      <c r="N89" s="1151"/>
      <c r="O89" s="1151"/>
      <c r="P89" s="45"/>
      <c r="Q89" s="502"/>
    </row>
    <row r="90" spans="1:17" ht="15.75" thickTop="1">
      <c r="A90" s="532"/>
      <c r="B90" s="536" t="s">
        <v>2787</v>
      </c>
      <c r="C90" s="576" t="s">
        <v>2600</v>
      </c>
      <c r="D90" s="576" t="s">
        <v>2601</v>
      </c>
      <c r="E90" s="576" t="s">
        <v>2602</v>
      </c>
      <c r="F90" s="576" t="s">
        <v>2603</v>
      </c>
      <c r="G90" s="576" t="s">
        <v>2604</v>
      </c>
      <c r="H90" s="537"/>
      <c r="I90" s="537"/>
      <c r="J90" s="537"/>
      <c r="K90" s="538"/>
      <c r="L90" s="539"/>
      <c r="M90" s="540"/>
      <c r="N90" s="1150"/>
      <c r="O90" s="1150"/>
      <c r="P90" s="45"/>
      <c r="Q90" s="502"/>
    </row>
    <row r="91" spans="1:17" ht="15.75" thickBot="1">
      <c r="A91" s="532"/>
      <c r="B91" s="541"/>
      <c r="C91" s="542">
        <v>100</v>
      </c>
      <c r="D91" s="542">
        <f>C91-$K17</f>
        <v>95</v>
      </c>
      <c r="E91" s="542">
        <f>D91-$K17</f>
        <v>90</v>
      </c>
      <c r="F91" s="542">
        <f>E91-$K17</f>
        <v>85</v>
      </c>
      <c r="G91" s="542">
        <f>F91-$K17</f>
        <v>80</v>
      </c>
      <c r="H91" s="542"/>
      <c r="I91" s="542"/>
      <c r="J91" s="542"/>
      <c r="K91" s="542"/>
      <c r="L91" s="542"/>
      <c r="M91" s="543"/>
      <c r="N91" s="1151"/>
      <c r="O91" s="1151"/>
      <c r="P91" s="45"/>
      <c r="Q91" s="502"/>
    </row>
    <row r="92" spans="1:17" ht="15.75" thickTop="1">
      <c r="A92" s="532"/>
      <c r="B92" s="536" t="s">
        <v>2700</v>
      </c>
      <c r="C92" s="576" t="s">
        <v>2600</v>
      </c>
      <c r="D92" s="576" t="s">
        <v>2601</v>
      </c>
      <c r="E92" s="576" t="s">
        <v>2602</v>
      </c>
      <c r="F92" s="576" t="s">
        <v>2603</v>
      </c>
      <c r="G92" s="576" t="s">
        <v>2604</v>
      </c>
      <c r="H92" s="537"/>
      <c r="I92" s="537"/>
      <c r="J92" s="537"/>
      <c r="K92" s="538"/>
      <c r="L92" s="539"/>
      <c r="M92" s="540"/>
      <c r="N92" s="1150"/>
      <c r="O92" s="1150"/>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1"/>
      <c r="O93" s="1151"/>
      <c r="P93" s="45"/>
      <c r="Q93" s="502"/>
    </row>
    <row r="94" spans="1:17" ht="15.75" thickTop="1">
      <c r="A94" s="532"/>
      <c r="B94" s="536" t="s">
        <v>2605</v>
      </c>
      <c r="C94" s="576" t="s">
        <v>2600</v>
      </c>
      <c r="D94" s="576" t="s">
        <v>2601</v>
      </c>
      <c r="E94" s="576" t="s">
        <v>2602</v>
      </c>
      <c r="F94" s="576" t="s">
        <v>2603</v>
      </c>
      <c r="G94" s="576" t="s">
        <v>2604</v>
      </c>
      <c r="H94" s="537"/>
      <c r="I94" s="537"/>
      <c r="J94" s="537"/>
      <c r="K94" s="538"/>
      <c r="L94" s="539"/>
      <c r="M94" s="540"/>
      <c r="N94" s="1150"/>
      <c r="O94" s="1150"/>
      <c r="P94" s="45"/>
      <c r="Q94" s="502"/>
    </row>
    <row r="95" spans="1:17" ht="15.75" thickBot="1">
      <c r="A95" s="532"/>
      <c r="B95" s="541"/>
      <c r="C95" s="542">
        <v>100</v>
      </c>
      <c r="D95" s="542">
        <f>C95-$K21</f>
        <v>95</v>
      </c>
      <c r="E95" s="542">
        <f>D95-$K21</f>
        <v>90</v>
      </c>
      <c r="F95" s="542">
        <f>E95-$K21</f>
        <v>85</v>
      </c>
      <c r="G95" s="542">
        <f>F95-$K21</f>
        <v>80</v>
      </c>
      <c r="H95" s="542"/>
      <c r="I95" s="542"/>
      <c r="J95" s="542"/>
      <c r="K95" s="542"/>
      <c r="L95" s="542"/>
      <c r="M95" s="543"/>
      <c r="N95" s="1151"/>
      <c r="O95" s="1151"/>
      <c r="P95" s="45"/>
      <c r="Q95" s="502"/>
    </row>
    <row r="96" spans="1:17" s="115" customFormat="1" ht="15.75" thickTop="1">
      <c r="A96" s="577"/>
      <c r="B96" s="536" t="s">
        <v>2788</v>
      </c>
      <c r="C96" s="576" t="s">
        <v>2600</v>
      </c>
      <c r="D96" s="576" t="s">
        <v>2601</v>
      </c>
      <c r="E96" s="576" t="s">
        <v>2602</v>
      </c>
      <c r="F96" s="576" t="s">
        <v>2603</v>
      </c>
      <c r="G96" s="576" t="s">
        <v>2604</v>
      </c>
      <c r="H96" s="576"/>
      <c r="I96" s="576"/>
      <c r="J96" s="576"/>
      <c r="K96" s="576"/>
      <c r="L96" s="696"/>
      <c r="M96" s="620"/>
      <c r="N96" s="1149"/>
      <c r="O96" s="1149"/>
      <c r="P96" s="45"/>
      <c r="Q96" s="502"/>
    </row>
    <row r="97" spans="1:17" s="115" customFormat="1" ht="15.75" thickBot="1">
      <c r="A97" s="577"/>
      <c r="B97" s="541"/>
      <c r="C97" s="580">
        <v>100</v>
      </c>
      <c r="D97" s="542">
        <f>C97-$K23</f>
        <v>98</v>
      </c>
      <c r="E97" s="542">
        <f>D97-$K23</f>
        <v>96</v>
      </c>
      <c r="F97" s="542">
        <f>E97-$K23</f>
        <v>94</v>
      </c>
      <c r="G97" s="542">
        <f>F97-$K23</f>
        <v>92</v>
      </c>
      <c r="H97" s="542"/>
      <c r="I97" s="542"/>
      <c r="J97" s="542"/>
      <c r="K97" s="542"/>
      <c r="L97" s="542"/>
      <c r="M97" s="543"/>
      <c r="N97" s="1151"/>
      <c r="O97" s="1151"/>
      <c r="P97" s="45"/>
      <c r="Q97" s="502"/>
    </row>
    <row r="98" spans="1:17" s="115" customFormat="1" ht="15.75" thickTop="1">
      <c r="A98" s="577"/>
      <c r="B98" s="536" t="s">
        <v>2789</v>
      </c>
      <c r="C98" s="571" t="s">
        <v>2600</v>
      </c>
      <c r="D98" s="571" t="s">
        <v>2601</v>
      </c>
      <c r="E98" s="571" t="s">
        <v>2602</v>
      </c>
      <c r="F98" s="571" t="s">
        <v>2603</v>
      </c>
      <c r="G98" s="571" t="s">
        <v>2604</v>
      </c>
      <c r="H98" s="576"/>
      <c r="I98" s="576"/>
      <c r="J98" s="576"/>
      <c r="K98" s="576"/>
      <c r="L98" s="576"/>
      <c r="M98" s="620"/>
      <c r="N98" s="1149"/>
      <c r="O98" s="1149"/>
      <c r="P98" s="45"/>
      <c r="Q98" s="502"/>
    </row>
    <row r="99" spans="1:17" s="115" customFormat="1" ht="15.75" thickBot="1">
      <c r="A99" s="577"/>
      <c r="B99" s="541"/>
      <c r="C99" s="542">
        <v>100</v>
      </c>
      <c r="D99" s="542">
        <f>C99-$K25</f>
        <v>98</v>
      </c>
      <c r="E99" s="542">
        <f>D99-$K25</f>
        <v>96</v>
      </c>
      <c r="F99" s="542">
        <f>E99-$K25</f>
        <v>94</v>
      </c>
      <c r="G99" s="542">
        <f>F99-$K25</f>
        <v>92</v>
      </c>
      <c r="H99" s="542"/>
      <c r="I99" s="542"/>
      <c r="J99" s="542"/>
      <c r="K99" s="542"/>
      <c r="L99" s="542"/>
      <c r="M99" s="543"/>
      <c r="N99" s="1151"/>
      <c r="O99" s="1151"/>
      <c r="P99" s="45"/>
      <c r="Q99" s="502"/>
    </row>
    <row r="100" spans="1:17" s="469" customFormat="1" ht="15.75" thickTop="1">
      <c r="A100" s="551"/>
      <c r="B100" s="536" t="s">
        <v>2657</v>
      </c>
      <c r="C100" s="571" t="s">
        <v>2600</v>
      </c>
      <c r="D100" s="571" t="s">
        <v>2601</v>
      </c>
      <c r="E100" s="571" t="s">
        <v>2602</v>
      </c>
      <c r="F100" s="571" t="s">
        <v>2603</v>
      </c>
      <c r="G100" s="571" t="s">
        <v>2604</v>
      </c>
      <c r="H100" s="598"/>
      <c r="I100" s="598"/>
      <c r="J100" s="598"/>
      <c r="K100" s="598"/>
      <c r="L100" s="599"/>
      <c r="M100" s="600"/>
      <c r="N100" s="1152"/>
      <c r="O100" s="1152"/>
      <c r="P100" s="556"/>
      <c r="Q100" s="557"/>
    </row>
    <row r="101" spans="1:17" s="469" customFormat="1" ht="15.75" thickBot="1">
      <c r="A101" s="551"/>
      <c r="B101" s="541"/>
      <c r="C101" s="542">
        <v>100</v>
      </c>
      <c r="D101" s="542">
        <f>C101-$K27</f>
        <v>98</v>
      </c>
      <c r="E101" s="542">
        <f>D101-$K27</f>
        <v>96</v>
      </c>
      <c r="F101" s="542">
        <f>E101-$K27</f>
        <v>94</v>
      </c>
      <c r="G101" s="542">
        <f>F101-$K27</f>
        <v>92</v>
      </c>
      <c r="H101" s="605"/>
      <c r="I101" s="605"/>
      <c r="J101" s="605"/>
      <c r="K101" s="605"/>
      <c r="L101" s="605"/>
      <c r="M101" s="606"/>
      <c r="N101" s="1152"/>
      <c r="O101" s="1152"/>
      <c r="P101" s="556"/>
      <c r="Q101" s="557"/>
    </row>
    <row r="102" spans="1:17" s="469" customFormat="1" ht="15.75" thickTop="1">
      <c r="A102" s="551"/>
      <c r="B102" s="544" t="s">
        <v>2658</v>
      </c>
      <c r="C102" s="658" t="s">
        <v>2678</v>
      </c>
      <c r="D102" s="658" t="s">
        <v>2679</v>
      </c>
      <c r="E102" s="658" t="s">
        <v>2680</v>
      </c>
      <c r="F102" s="658" t="s">
        <v>2681</v>
      </c>
      <c r="G102" s="658" t="s">
        <v>2682</v>
      </c>
      <c r="H102" s="598"/>
      <c r="I102" s="598"/>
      <c r="J102" s="598"/>
      <c r="K102" s="598"/>
      <c r="L102" s="598"/>
      <c r="M102" s="1383"/>
      <c r="N102" s="1152"/>
      <c r="O102" s="1152"/>
      <c r="P102" s="556"/>
      <c r="Q102" s="557"/>
    </row>
    <row r="103" spans="1:17" s="469" customFormat="1" ht="15.75" thickBot="1">
      <c r="A103" s="551"/>
      <c r="B103" s="544"/>
      <c r="C103" s="542">
        <v>100</v>
      </c>
      <c r="D103" s="542">
        <f>C103-$K29</f>
        <v>98</v>
      </c>
      <c r="E103" s="542">
        <f>D103-$K29</f>
        <v>96</v>
      </c>
      <c r="F103" s="542">
        <f>E103-$K29</f>
        <v>94</v>
      </c>
      <c r="G103" s="542">
        <f>F103-$K29</f>
        <v>92</v>
      </c>
      <c r="H103" s="546"/>
      <c r="I103" s="546"/>
      <c r="J103" s="546"/>
      <c r="K103" s="546"/>
      <c r="L103" s="546"/>
      <c r="M103" s="1383"/>
      <c r="N103" s="1152"/>
      <c r="O103" s="1152"/>
      <c r="P103" s="556"/>
      <c r="Q103" s="557"/>
    </row>
    <row r="104" spans="1:17" ht="15.75" thickTop="1">
      <c r="A104" s="532"/>
      <c r="B104" s="536" t="str">
        <f>B31</f>
        <v>临街状况</v>
      </c>
      <c r="C104" s="537" t="s">
        <v>2790</v>
      </c>
      <c r="D104" s="537" t="s">
        <v>2791</v>
      </c>
      <c r="E104" s="537" t="s">
        <v>2792</v>
      </c>
      <c r="F104" s="537" t="s">
        <v>2793</v>
      </c>
      <c r="G104" s="537"/>
      <c r="H104" s="537"/>
      <c r="I104" s="537"/>
      <c r="J104" s="537"/>
      <c r="K104" s="538"/>
      <c r="L104" s="539"/>
      <c r="M104" s="540"/>
      <c r="N104" s="1150"/>
      <c r="O104" s="1150"/>
      <c r="P104" s="45"/>
      <c r="Q104" s="502"/>
    </row>
    <row r="105" spans="1:17" ht="15.75" thickBot="1">
      <c r="A105" s="532"/>
      <c r="B105" s="541"/>
      <c r="C105" s="542">
        <v>100</v>
      </c>
      <c r="D105" s="542">
        <f>C105-$K31</f>
        <v>97</v>
      </c>
      <c r="E105" s="542">
        <f t="shared" ref="E105:M105" si="22">D105-$K31</f>
        <v>94</v>
      </c>
      <c r="F105" s="542">
        <f t="shared" si="22"/>
        <v>91</v>
      </c>
      <c r="G105" s="542">
        <f t="shared" si="22"/>
        <v>88</v>
      </c>
      <c r="H105" s="542">
        <f t="shared" si="22"/>
        <v>85</v>
      </c>
      <c r="I105" s="542">
        <f t="shared" si="22"/>
        <v>82</v>
      </c>
      <c r="J105" s="542">
        <f t="shared" si="22"/>
        <v>79</v>
      </c>
      <c r="K105" s="542">
        <f t="shared" si="22"/>
        <v>76</v>
      </c>
      <c r="L105" s="542">
        <f t="shared" si="22"/>
        <v>73</v>
      </c>
      <c r="M105" s="542">
        <f t="shared" si="22"/>
        <v>70</v>
      </c>
      <c r="N105" s="1151"/>
      <c r="O105" s="1151"/>
      <c r="P105" s="45"/>
      <c r="Q105" s="502"/>
    </row>
    <row r="106" spans="1:17" ht="27.75" thickTop="1">
      <c r="A106" s="532"/>
      <c r="B106" s="536" t="s">
        <v>2694</v>
      </c>
      <c r="C106" s="2940" t="s">
        <v>3115</v>
      </c>
      <c r="D106" s="2940" t="s">
        <v>3117</v>
      </c>
      <c r="E106" s="2940" t="s">
        <v>3119</v>
      </c>
      <c r="F106" s="2940" t="s">
        <v>3120</v>
      </c>
      <c r="G106" s="552"/>
      <c r="H106" s="581"/>
      <c r="I106" s="581"/>
      <c r="J106" s="581"/>
      <c r="K106" s="582"/>
      <c r="L106" s="583"/>
      <c r="M106" s="584"/>
      <c r="N106" s="1150"/>
      <c r="O106" s="1150"/>
      <c r="P106" s="45"/>
      <c r="Q106" s="502"/>
    </row>
    <row r="107" spans="1:17" ht="15.75" thickBot="1">
      <c r="A107" s="532"/>
      <c r="B107" s="541"/>
      <c r="C107" s="542">
        <v>100</v>
      </c>
      <c r="D107" s="542">
        <f>C107-$K32</f>
        <v>98</v>
      </c>
      <c r="E107" s="542">
        <f t="shared" ref="E107:M107" si="23">D107-$K32</f>
        <v>96</v>
      </c>
      <c r="F107" s="542">
        <f t="shared" si="23"/>
        <v>94</v>
      </c>
      <c r="G107" s="542">
        <f t="shared" si="23"/>
        <v>92</v>
      </c>
      <c r="H107" s="542">
        <f t="shared" si="23"/>
        <v>90</v>
      </c>
      <c r="I107" s="542">
        <f t="shared" si="23"/>
        <v>88</v>
      </c>
      <c r="J107" s="542">
        <f t="shared" si="23"/>
        <v>86</v>
      </c>
      <c r="K107" s="542">
        <f t="shared" si="23"/>
        <v>84</v>
      </c>
      <c r="L107" s="542">
        <f t="shared" si="23"/>
        <v>82</v>
      </c>
      <c r="M107" s="542">
        <f t="shared" si="23"/>
        <v>80</v>
      </c>
      <c r="N107" s="1151"/>
      <c r="O107" s="1151"/>
      <c r="P107" s="45"/>
      <c r="Q107" s="502"/>
    </row>
    <row r="108" spans="1:17" ht="15.75" thickTop="1">
      <c r="A108" s="532"/>
      <c r="B108" s="536" t="s">
        <v>2753</v>
      </c>
      <c r="C108" s="2940" t="s">
        <v>3115</v>
      </c>
      <c r="D108" s="2940" t="s">
        <v>3117</v>
      </c>
      <c r="E108" s="2940" t="s">
        <v>3119</v>
      </c>
      <c r="F108" s="2940" t="s">
        <v>3120</v>
      </c>
      <c r="G108" s="581"/>
      <c r="H108" s="581"/>
      <c r="I108" s="581"/>
      <c r="J108" s="581"/>
      <c r="K108" s="582"/>
      <c r="L108" s="583"/>
      <c r="M108" s="584"/>
      <c r="N108" s="1150"/>
      <c r="O108" s="1150"/>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1"/>
      <c r="O109" s="1151"/>
      <c r="P109" s="45"/>
      <c r="Q109" s="502"/>
    </row>
    <row r="110" spans="1:17" ht="15.75" thickTop="1">
      <c r="A110" s="532"/>
      <c r="B110" s="544">
        <f>B35</f>
        <v>111</v>
      </c>
      <c r="C110" s="552"/>
      <c r="D110" s="552"/>
      <c r="E110" s="552"/>
      <c r="F110" s="552"/>
      <c r="G110" s="585"/>
      <c r="H110" s="585"/>
      <c r="I110" s="585"/>
      <c r="J110" s="585"/>
      <c r="K110" s="586"/>
      <c r="L110" s="587"/>
      <c r="M110" s="588"/>
      <c r="N110" s="1150"/>
      <c r="O110" s="1150"/>
      <c r="P110" s="45"/>
      <c r="Q110" s="502"/>
    </row>
    <row r="111" spans="1:17" ht="15.75" thickBot="1">
      <c r="A111" s="532"/>
      <c r="B111" s="567"/>
      <c r="C111" s="558"/>
      <c r="D111" s="558"/>
      <c r="E111" s="558"/>
      <c r="F111" s="558"/>
      <c r="G111" s="589"/>
      <c r="H111" s="589"/>
      <c r="I111" s="589"/>
      <c r="J111" s="589"/>
      <c r="K111" s="589"/>
      <c r="L111" s="589"/>
      <c r="M111" s="590"/>
      <c r="N111" s="1151"/>
      <c r="O111" s="1151"/>
      <c r="P111" s="45"/>
      <c r="Q111" s="502"/>
    </row>
    <row r="112" spans="1:17" ht="15" thickTop="1">
      <c r="A112" s="673"/>
      <c r="B112" s="536">
        <f>B36</f>
        <v>111</v>
      </c>
      <c r="C112" s="521"/>
      <c r="D112" s="521"/>
      <c r="E112" s="521"/>
      <c r="F112" s="521"/>
      <c r="G112" s="581"/>
      <c r="H112" s="581"/>
      <c r="I112" s="581"/>
      <c r="J112" s="581"/>
      <c r="K112" s="582"/>
      <c r="L112" s="583"/>
      <c r="M112" s="584"/>
      <c r="N112" s="1150"/>
      <c r="O112" s="1150"/>
      <c r="P112" s="45"/>
      <c r="Q112" s="502"/>
    </row>
    <row r="113" spans="1:17" ht="15.75" thickBot="1">
      <c r="A113" s="532"/>
      <c r="B113" s="541"/>
      <c r="C113" s="568"/>
      <c r="D113" s="568"/>
      <c r="E113" s="568"/>
      <c r="F113" s="568"/>
      <c r="G113" s="534"/>
      <c r="H113" s="534"/>
      <c r="I113" s="534"/>
      <c r="J113" s="534"/>
      <c r="K113" s="534"/>
      <c r="L113" s="534"/>
      <c r="M113" s="535"/>
      <c r="N113" s="1151"/>
      <c r="O113" s="1151"/>
      <c r="P113" s="45"/>
      <c r="Q113" s="502"/>
    </row>
    <row r="114" spans="1:17" s="469" customFormat="1" ht="15" thickTop="1">
      <c r="A114" s="591"/>
      <c r="B114" s="592">
        <f>B37</f>
        <v>111</v>
      </c>
      <c r="C114" s="593"/>
      <c r="D114" s="593"/>
      <c r="E114" s="593"/>
      <c r="F114" s="593"/>
      <c r="G114" s="593"/>
      <c r="H114" s="593"/>
      <c r="I114" s="593"/>
      <c r="J114" s="594"/>
      <c r="K114" s="594"/>
      <c r="L114" s="595"/>
      <c r="M114" s="596"/>
      <c r="N114" s="1152"/>
      <c r="O114" s="1152"/>
      <c r="P114" s="556"/>
      <c r="Q114" s="557"/>
    </row>
    <row r="115" spans="1:17" s="469" customFormat="1" ht="15.75" thickBot="1">
      <c r="A115" s="551"/>
      <c r="B115" s="544"/>
      <c r="C115" s="510"/>
      <c r="D115" s="675"/>
      <c r="E115" s="675"/>
      <c r="F115" s="675"/>
      <c r="G115" s="675"/>
      <c r="H115" s="675"/>
      <c r="I115" s="675"/>
      <c r="J115" s="675"/>
      <c r="K115" s="675"/>
      <c r="L115" s="675"/>
      <c r="M115" s="697"/>
      <c r="N115" s="1151"/>
      <c r="O115" s="1151"/>
      <c r="P115" s="556"/>
      <c r="Q115" s="557"/>
    </row>
    <row r="116" spans="1:17">
      <c r="A116" s="525" t="s">
        <v>2566</v>
      </c>
      <c r="B116" s="526" t="s">
        <v>2794</v>
      </c>
      <c r="C116" s="527" t="str">
        <f>C117&amp;"(含)"&amp;"-"&amp;D117</f>
        <v>1(含)-20000</v>
      </c>
      <c r="D116" s="527" t="str">
        <f t="shared" ref="D116:M116" si="25">D117&amp;"(含)"&amp;"-"&amp;E117</f>
        <v>20000(含)-40000</v>
      </c>
      <c r="E116" s="527" t="str">
        <f t="shared" si="25"/>
        <v>40000(含)-60000</v>
      </c>
      <c r="F116" s="527" t="str">
        <f t="shared" si="25"/>
        <v>60000(含)-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50"/>
      <c r="O116" s="1150"/>
      <c r="P116" s="45"/>
      <c r="Q116" s="502"/>
    </row>
    <row r="117" spans="1:17" ht="15">
      <c r="A117" s="532"/>
      <c r="B117" s="544"/>
      <c r="C117" s="593">
        <v>1</v>
      </c>
      <c r="D117" s="593">
        <v>20000</v>
      </c>
      <c r="E117" s="593">
        <v>40000</v>
      </c>
      <c r="F117" s="593">
        <v>60000</v>
      </c>
      <c r="G117" s="593"/>
      <c r="H117" s="593"/>
      <c r="I117" s="593"/>
      <c r="J117" s="594"/>
      <c r="K117" s="594"/>
      <c r="L117" s="595"/>
      <c r="M117" s="596"/>
      <c r="N117" s="1150"/>
      <c r="O117" s="1150"/>
      <c r="P117" s="45"/>
      <c r="Q117" s="502"/>
    </row>
    <row r="118" spans="1:17" ht="15.75" thickBot="1">
      <c r="A118" s="532"/>
      <c r="B118" s="541"/>
      <c r="C118" s="568">
        <v>100</v>
      </c>
      <c r="D118" s="589">
        <v>102</v>
      </c>
      <c r="E118" s="589">
        <v>104</v>
      </c>
      <c r="F118" s="589">
        <v>106</v>
      </c>
      <c r="G118" s="589"/>
      <c r="H118" s="589"/>
      <c r="I118" s="589"/>
      <c r="J118" s="589"/>
      <c r="K118" s="589"/>
      <c r="L118" s="589"/>
      <c r="M118" s="590"/>
      <c r="N118" s="1151"/>
      <c r="O118" s="1151"/>
      <c r="P118" s="45"/>
      <c r="Q118" s="502"/>
    </row>
    <row r="119" spans="1:17" ht="15" thickTop="1">
      <c r="A119" s="597"/>
      <c r="B119" s="536" t="s">
        <v>2795</v>
      </c>
      <c r="C119" s="2940" t="s">
        <v>3122</v>
      </c>
      <c r="D119" s="581"/>
      <c r="E119" s="581"/>
      <c r="F119" s="581"/>
      <c r="G119" s="581"/>
      <c r="H119" s="581"/>
      <c r="I119" s="581"/>
      <c r="J119" s="581"/>
      <c r="K119" s="582"/>
      <c r="L119" s="583"/>
      <c r="M119" s="584"/>
      <c r="N119" s="1150"/>
      <c r="O119" s="1150"/>
      <c r="P119" s="45"/>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1"/>
      <c r="O120" s="1151"/>
      <c r="P120" s="45"/>
      <c r="Q120" s="502"/>
    </row>
    <row r="121" spans="1:17" ht="15" thickTop="1">
      <c r="A121" s="597"/>
      <c r="B121" s="536" t="s">
        <v>2796</v>
      </c>
      <c r="C121" s="2941" t="s">
        <v>3127</v>
      </c>
      <c r="D121" s="552"/>
      <c r="E121" s="552"/>
      <c r="F121" s="581"/>
      <c r="G121" s="581"/>
      <c r="H121" s="581"/>
      <c r="I121" s="581"/>
      <c r="J121" s="581"/>
      <c r="K121" s="582"/>
      <c r="L121" s="583"/>
      <c r="M121" s="584"/>
      <c r="N121" s="1150"/>
      <c r="O121" s="1150"/>
      <c r="P121" s="45"/>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1"/>
      <c r="O122" s="1151"/>
      <c r="P122" s="45"/>
      <c r="Q122" s="502"/>
    </row>
    <row r="123" spans="1:17" s="469" customFormat="1" ht="15" thickTop="1">
      <c r="A123" s="591"/>
      <c r="B123" s="536" t="s">
        <v>2797</v>
      </c>
      <c r="C123" s="2941" t="s">
        <v>3124</v>
      </c>
      <c r="D123" s="552"/>
      <c r="E123" s="552"/>
      <c r="F123" s="552"/>
      <c r="G123" s="552"/>
      <c r="H123" s="581"/>
      <c r="I123" s="581"/>
      <c r="J123" s="581"/>
      <c r="K123" s="582"/>
      <c r="L123" s="583"/>
      <c r="M123" s="584"/>
      <c r="N123" s="1152"/>
      <c r="O123" s="1152"/>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2"/>
      <c r="O124" s="1152"/>
      <c r="P124" s="556"/>
      <c r="Q124" s="557"/>
    </row>
    <row r="125" spans="1:17" ht="15" thickTop="1">
      <c r="A125" s="597"/>
      <c r="B125" s="536" t="s">
        <v>2798</v>
      </c>
      <c r="C125" s="2941" t="s">
        <v>3125</v>
      </c>
      <c r="D125" s="2941" t="s">
        <v>3182</v>
      </c>
      <c r="E125" s="581"/>
      <c r="F125" s="581"/>
      <c r="G125" s="581"/>
      <c r="H125" s="581"/>
      <c r="I125" s="581"/>
      <c r="J125" s="581"/>
      <c r="K125" s="582"/>
      <c r="L125" s="583"/>
      <c r="M125" s="584"/>
      <c r="N125" s="1150"/>
      <c r="O125" s="1150"/>
      <c r="P125" s="45"/>
      <c r="Q125" s="502"/>
    </row>
    <row r="126" spans="1:17" ht="15.75" thickBot="1">
      <c r="A126" s="532"/>
      <c r="B126" s="541"/>
      <c r="C126" s="542">
        <v>100</v>
      </c>
      <c r="D126" s="542">
        <f t="shared" ref="D126:M126" si="29">C126-$K42</f>
        <v>95</v>
      </c>
      <c r="E126" s="542">
        <f t="shared" si="29"/>
        <v>90</v>
      </c>
      <c r="F126" s="542">
        <f t="shared" si="29"/>
        <v>85</v>
      </c>
      <c r="G126" s="542">
        <f t="shared" si="29"/>
        <v>80</v>
      </c>
      <c r="H126" s="542">
        <f t="shared" si="29"/>
        <v>75</v>
      </c>
      <c r="I126" s="542">
        <f t="shared" si="29"/>
        <v>70</v>
      </c>
      <c r="J126" s="542">
        <f t="shared" si="29"/>
        <v>65</v>
      </c>
      <c r="K126" s="542">
        <f t="shared" si="29"/>
        <v>60</v>
      </c>
      <c r="L126" s="542">
        <f t="shared" si="29"/>
        <v>55</v>
      </c>
      <c r="M126" s="543">
        <f t="shared" si="29"/>
        <v>50</v>
      </c>
      <c r="N126" s="1151"/>
      <c r="O126" s="1151"/>
      <c r="P126" s="45"/>
      <c r="Q126" s="502"/>
    </row>
    <row r="127" spans="1:17" ht="15" thickTop="1">
      <c r="A127" s="597"/>
      <c r="B127" s="536" t="str">
        <f>B43</f>
        <v>是否坡地</v>
      </c>
      <c r="C127" s="2941" t="s">
        <v>3180</v>
      </c>
      <c r="D127" s="2941" t="s">
        <v>3181</v>
      </c>
      <c r="E127" s="552"/>
      <c r="F127" s="552"/>
      <c r="G127" s="552"/>
      <c r="H127" s="581"/>
      <c r="I127" s="581"/>
      <c r="J127" s="581"/>
      <c r="K127" s="582"/>
      <c r="L127" s="583"/>
      <c r="M127" s="584"/>
      <c r="N127" s="1150"/>
      <c r="O127" s="1150"/>
      <c r="P127" s="45"/>
      <c r="Q127" s="502"/>
    </row>
    <row r="128" spans="1:17" ht="15.75" thickBot="1">
      <c r="A128" s="532"/>
      <c r="B128" s="541"/>
      <c r="C128" s="558">
        <v>100</v>
      </c>
      <c r="D128" s="558">
        <v>105</v>
      </c>
      <c r="E128" s="558"/>
      <c r="F128" s="558"/>
      <c r="G128" s="534"/>
      <c r="H128" s="534"/>
      <c r="I128" s="534"/>
      <c r="J128" s="534"/>
      <c r="K128" s="534"/>
      <c r="L128" s="534"/>
      <c r="M128" s="535"/>
      <c r="N128" s="1151"/>
      <c r="O128" s="1151"/>
      <c r="P128" s="45"/>
      <c r="Q128" s="502"/>
    </row>
    <row r="129" spans="1:17" ht="15" thickTop="1">
      <c r="A129" s="597"/>
      <c r="B129" s="536">
        <f>B44</f>
        <v>111</v>
      </c>
      <c r="C129" s="521"/>
      <c r="D129" s="521"/>
      <c r="E129" s="521"/>
      <c r="F129" s="521"/>
      <c r="G129" s="581"/>
      <c r="H129" s="581"/>
      <c r="I129" s="581"/>
      <c r="J129" s="581"/>
      <c r="K129" s="582"/>
      <c r="L129" s="583"/>
      <c r="M129" s="584"/>
      <c r="N129" s="1150"/>
      <c r="O129" s="1150"/>
      <c r="P129" s="45"/>
      <c r="Q129" s="502"/>
    </row>
    <row r="130" spans="1:17" ht="15.75" thickBot="1">
      <c r="A130" s="532"/>
      <c r="B130" s="541"/>
      <c r="C130" s="568"/>
      <c r="D130" s="568"/>
      <c r="E130" s="568"/>
      <c r="F130" s="568"/>
      <c r="G130" s="534"/>
      <c r="H130" s="534"/>
      <c r="I130" s="534"/>
      <c r="J130" s="534"/>
      <c r="K130" s="534"/>
      <c r="L130" s="534"/>
      <c r="M130" s="535"/>
      <c r="N130" s="1151"/>
      <c r="O130" s="1151"/>
      <c r="P130" s="45"/>
      <c r="Q130" s="502"/>
    </row>
    <row r="131" spans="1:17" s="469" customFormat="1" ht="15" thickTop="1">
      <c r="A131" s="591"/>
      <c r="B131" s="536">
        <f>B45</f>
        <v>111</v>
      </c>
      <c r="C131" s="521"/>
      <c r="D131" s="521"/>
      <c r="E131" s="521"/>
      <c r="F131" s="521"/>
      <c r="G131" s="553"/>
      <c r="H131" s="553"/>
      <c r="I131" s="553"/>
      <c r="J131" s="553"/>
      <c r="K131" s="553"/>
      <c r="L131" s="554"/>
      <c r="M131" s="555"/>
      <c r="N131" s="1152"/>
      <c r="O131" s="1152"/>
      <c r="P131" s="556"/>
      <c r="Q131" s="557"/>
    </row>
    <row r="132" spans="1:17" s="469" customFormat="1" ht="15.75" thickBot="1">
      <c r="A132" s="566"/>
      <c r="B132" s="698"/>
      <c r="C132" s="568"/>
      <c r="D132" s="568"/>
      <c r="E132" s="568"/>
      <c r="F132" s="568"/>
      <c r="G132" s="589"/>
      <c r="H132" s="589"/>
      <c r="I132" s="589"/>
      <c r="J132" s="589"/>
      <c r="K132" s="589"/>
      <c r="L132" s="589"/>
      <c r="M132" s="590"/>
      <c r="N132" s="1152"/>
      <c r="O132" s="1152"/>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56" priority="14" stopIfTrue="1" operator="containsText" text="超过">
      <formula>NOT(ISERROR(SEARCH("超过",F51)))</formula>
    </cfRule>
  </conditionalFormatting>
  <conditionalFormatting sqref="J53">
    <cfRule type="containsText" dxfId="155" priority="13" stopIfTrue="1" operator="containsText" text="超过">
      <formula>NOT(ISERROR(SEARCH("超过",J53)))</formula>
    </cfRule>
  </conditionalFormatting>
  <conditionalFormatting sqref="H53">
    <cfRule type="containsText" dxfId="154" priority="12" stopIfTrue="1" operator="containsText" text="超过">
      <formula>NOT(ISERROR(SEARCH("超过",H53)))</formula>
    </cfRule>
  </conditionalFormatting>
  <conditionalFormatting sqref="F53">
    <cfRule type="containsText" dxfId="153" priority="11" stopIfTrue="1" operator="containsText" text="超过">
      <formula>NOT(ISERROR(SEARCH("超过",F53)))</formula>
    </cfRule>
  </conditionalFormatting>
  <conditionalFormatting sqref="F52 H52 J52">
    <cfRule type="containsText" dxfId="152" priority="10" stopIfTrue="1" operator="containsText" text="超过">
      <formula>NOT(ISERROR(SEARCH("超过",F52)))</formula>
    </cfRule>
  </conditionalFormatting>
  <conditionalFormatting sqref="E51">
    <cfRule type="expression" dxfId="151" priority="9" stopIfTrue="1">
      <formula>$F$51="超过30%"</formula>
    </cfRule>
  </conditionalFormatting>
  <conditionalFormatting sqref="G53">
    <cfRule type="expression" dxfId="150" priority="8" stopIfTrue="1">
      <formula>$H$53="超过30%"</formula>
    </cfRule>
  </conditionalFormatting>
  <conditionalFormatting sqref="E52">
    <cfRule type="expression" dxfId="149" priority="7" stopIfTrue="1">
      <formula>$F$52="超过20%"</formula>
    </cfRule>
  </conditionalFormatting>
  <conditionalFormatting sqref="E53">
    <cfRule type="expression" dxfId="148" priority="6" stopIfTrue="1">
      <formula>$F$53="超过30%"</formula>
    </cfRule>
  </conditionalFormatting>
  <conditionalFormatting sqref="G51">
    <cfRule type="expression" dxfId="147" priority="5" stopIfTrue="1">
      <formula>$H$53+$H$51="超过30%"</formula>
    </cfRule>
  </conditionalFormatting>
  <conditionalFormatting sqref="G52">
    <cfRule type="expression" dxfId="146" priority="4" stopIfTrue="1">
      <formula>$H$52="超过20%"</formula>
    </cfRule>
  </conditionalFormatting>
  <conditionalFormatting sqref="I51">
    <cfRule type="expression" dxfId="145" priority="3" stopIfTrue="1">
      <formula>$J$51="超过30%"</formula>
    </cfRule>
  </conditionalFormatting>
  <conditionalFormatting sqref="I52">
    <cfRule type="expression" dxfId="144" priority="2" stopIfTrue="1">
      <formula>$J$52="超过20%"</formula>
    </cfRule>
  </conditionalFormatting>
  <conditionalFormatting sqref="I53">
    <cfRule type="expression" dxfId="14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workbookViewId="0">
      <selection activeCell="H23" sqref="H23"/>
    </sheetView>
  </sheetViews>
  <sheetFormatPr defaultColWidth="6.625" defaultRowHeight="12.75"/>
  <cols>
    <col min="1" max="1" width="9.75" style="795" customWidth="1"/>
    <col min="2" max="2" width="25.75" style="950" customWidth="1"/>
    <col min="3" max="3" width="10.375" style="993" customWidth="1"/>
    <col min="4" max="4" width="9.875" style="950" customWidth="1"/>
    <col min="5" max="5" width="9.5" style="795"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8" t="s">
        <v>2465</v>
      </c>
      <c r="B1" s="1578"/>
      <c r="C1" s="1579"/>
      <c r="D1" s="1577"/>
      <c r="E1" s="318"/>
      <c r="F1" s="318"/>
      <c r="G1" s="1578"/>
      <c r="H1" s="318"/>
      <c r="I1" s="318"/>
      <c r="J1" s="318"/>
      <c r="K1" s="318">
        <f>MATCH(C1,'数据-取费表'!A6:A16,0)+5</f>
        <v>12</v>
      </c>
    </row>
    <row r="2" spans="1:33" ht="18" customHeight="1">
      <c r="A2" s="243" t="s">
        <v>2333</v>
      </c>
      <c r="B2" s="246">
        <f ca="1">C32</f>
        <v>83566</v>
      </c>
      <c r="C2" s="318" t="s">
        <v>2466</v>
      </c>
      <c r="D2" s="318"/>
      <c r="E2" s="318"/>
      <c r="F2" s="318"/>
      <c r="G2" s="318"/>
      <c r="H2" s="318"/>
      <c r="I2" s="318"/>
      <c r="J2" s="318"/>
      <c r="K2" s="318"/>
    </row>
    <row r="3" spans="1:33" ht="18" customHeight="1" thickBot="1">
      <c r="A3" s="245" t="s">
        <v>2335</v>
      </c>
      <c r="B3" s="246">
        <f ca="1">ROUND(B2*10000/IF(C1="",'数据-汇总表'!E3,INDIRECT("'数据-取费表'!K"&amp;$K$1)),0)</f>
        <v>12411</v>
      </c>
      <c r="C3" s="318" t="s">
        <v>2467</v>
      </c>
      <c r="D3" s="318"/>
      <c r="E3" s="318"/>
      <c r="F3" s="318"/>
      <c r="G3" s="318"/>
      <c r="H3" s="318"/>
      <c r="I3" s="318"/>
      <c r="J3" s="318"/>
      <c r="K3" s="318"/>
    </row>
    <row r="4" spans="1:33" s="954" customFormat="1" ht="16.5" customHeight="1">
      <c r="A4" s="951" t="s">
        <v>2468</v>
      </c>
      <c r="B4" s="952"/>
      <c r="C4" s="994">
        <f ca="1">SUM(C8:K8)</f>
        <v>132573.95000000001</v>
      </c>
      <c r="D4" s="952"/>
      <c r="E4" s="952"/>
      <c r="F4" s="952"/>
      <c r="G4" s="952"/>
      <c r="H4" s="952"/>
      <c r="I4" s="952"/>
      <c r="J4" s="952"/>
      <c r="K4" s="953"/>
    </row>
    <row r="5" spans="1:33" s="958" customFormat="1" ht="25.5">
      <c r="A5" s="955" t="s">
        <v>2469</v>
      </c>
      <c r="B5" s="956" t="s">
        <v>2470</v>
      </c>
      <c r="C5" s="2549" t="s">
        <v>3101</v>
      </c>
      <c r="D5" s="2549" t="s">
        <v>3102</v>
      </c>
      <c r="E5" s="2549" t="s">
        <v>3104</v>
      </c>
      <c r="F5" s="2549" t="s">
        <v>3103</v>
      </c>
      <c r="G5" s="2549" t="s">
        <v>3173</v>
      </c>
      <c r="H5" s="2549" t="s">
        <v>3192</v>
      </c>
      <c r="I5" s="2549"/>
      <c r="J5" s="2549"/>
      <c r="K5" s="2549"/>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7" t="s">
        <v>2471</v>
      </c>
      <c r="C6" s="960">
        <f>'比较法-住宅'!B3</f>
        <v>23620</v>
      </c>
      <c r="D6" s="960">
        <v>4500</v>
      </c>
      <c r="E6" s="960">
        <f ca="1">收益法!B3</f>
        <v>2750</v>
      </c>
      <c r="F6" s="960">
        <f>'比较法-住宅 (2)'!B3</f>
        <v>25097</v>
      </c>
      <c r="G6" s="960">
        <f ca="1">'收益法 (底商)'!B3</f>
        <v>20818</v>
      </c>
      <c r="H6" s="960">
        <f ca="1">'收益法 (售楼处)'!B3</f>
        <v>16313</v>
      </c>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2472</v>
      </c>
      <c r="B7" s="137" t="s">
        <v>2473</v>
      </c>
      <c r="C7" s="319">
        <f>SUMIF('数据-汇总表'!$C19:$C33,假设开发法!C5,'数据-汇总表'!$E19:$E33)</f>
        <v>13243.629999999997</v>
      </c>
      <c r="D7" s="319">
        <f>SUMIF('数据-汇总表'!$C19:$C33,假设开发法!D5,'数据-汇总表'!$E19:$E33)</f>
        <v>2971</v>
      </c>
      <c r="E7" s="319">
        <f>SUMIF('数据-汇总表'!$C19:$C33,假设开发法!E5,'数据-汇总表'!$E19:$E33)</f>
        <v>7513.65</v>
      </c>
      <c r="F7" s="319">
        <f>SUMIF('数据-汇总表'!$C19:$C33,假设开发法!F5,'数据-汇总表'!$E19:$E33)</f>
        <v>32914.340000000004</v>
      </c>
      <c r="G7" s="319">
        <f>SUMIF('数据-汇总表'!$C19:$C33,假设开发法!G5,'数据-汇总表'!$E19:$E33)</f>
        <v>5178.66</v>
      </c>
      <c r="H7" s="319">
        <f>SUMIF('数据-汇总表'!$C19:$C33,假设开发法!H5,'数据-汇总表'!$E19:$E33)</f>
        <v>2761.03</v>
      </c>
      <c r="I7" s="319">
        <f>SUMIF('数据-汇总表'!$C19:$C33,假设开发法!I5,'数据-汇总表'!$E19:$E33)</f>
        <v>0</v>
      </c>
      <c r="J7" s="319">
        <f>SUMIF('数据-汇总表'!$C19:$C33,假设开发法!J5,'数据-汇总表'!$E19:$E33)</f>
        <v>0</v>
      </c>
      <c r="K7" s="320">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0" t="s">
        <v>2474</v>
      </c>
      <c r="B8" s="175" t="s">
        <v>2475</v>
      </c>
      <c r="C8" s="995">
        <f>'比较法-住宅'!B2</f>
        <v>31281</v>
      </c>
      <c r="D8" s="995">
        <f>D6*D7/10000</f>
        <v>1336.95</v>
      </c>
      <c r="E8" s="995">
        <f ca="1">收益法!B2</f>
        <v>2066</v>
      </c>
      <c r="F8" s="995">
        <f>'比较法-住宅 (2)'!B2</f>
        <v>82605</v>
      </c>
      <c r="G8" s="996">
        <f ca="1">'收益法 (底商)'!B2</f>
        <v>10781</v>
      </c>
      <c r="H8" s="996">
        <f ca="1">'收益法 (售楼处)'!B2</f>
        <v>4504</v>
      </c>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2476</v>
      </c>
      <c r="B9" s="952"/>
      <c r="C9" s="952"/>
      <c r="D9" s="952"/>
      <c r="E9" s="952"/>
      <c r="F9" s="952"/>
      <c r="G9" s="952"/>
      <c r="H9" s="952"/>
      <c r="I9" s="952"/>
      <c r="J9" s="952"/>
      <c r="K9" s="953"/>
    </row>
    <row r="10" spans="1:33" s="968" customFormat="1" ht="13.5" customHeight="1">
      <c r="A10" s="955" t="s">
        <v>2477</v>
      </c>
      <c r="B10" s="8" t="s">
        <v>2478</v>
      </c>
      <c r="C10" s="964" t="s">
        <v>2479</v>
      </c>
      <c r="D10" s="965" t="s">
        <v>2480</v>
      </c>
      <c r="E10" s="965" t="s">
        <v>2481</v>
      </c>
      <c r="F10" s="965" t="s">
        <v>2482</v>
      </c>
      <c r="G10" s="8"/>
      <c r="H10" s="966"/>
      <c r="I10" s="966"/>
      <c r="J10" s="966"/>
      <c r="K10" s="967"/>
    </row>
    <row r="11" spans="1:33" s="973" customFormat="1" ht="13.5" customHeight="1">
      <c r="A11" s="969" t="s">
        <v>1335</v>
      </c>
      <c r="B11" s="970" t="s">
        <v>2483</v>
      </c>
      <c r="C11" s="321">
        <f ca="1">IF(C1="",'数据-取费表'!P16,INDIRECT("'数据-取费表'!p"&amp;$K$1)+INDIRECT("'数据-取费表'!ar"&amp;$K$1))</f>
        <v>13995</v>
      </c>
      <c r="D11" s="971"/>
      <c r="E11" s="373"/>
      <c r="F11" s="972">
        <f ca="1">1-IF('数据-取费表'!B24=0,1,IF(C1="",'数据-取费表'!N16,INDIRECT("'数据-取费表'!n"&amp;$K$1)))</f>
        <v>0.84299999999999997</v>
      </c>
      <c r="G11" s="8"/>
      <c r="H11" s="966"/>
      <c r="I11" s="966"/>
      <c r="J11" s="966"/>
      <c r="K11" s="967"/>
    </row>
    <row r="12" spans="1:33" s="973" customFormat="1" ht="13.5" customHeight="1">
      <c r="A12" s="969" t="s">
        <v>1336</v>
      </c>
      <c r="B12" s="970" t="s">
        <v>2484</v>
      </c>
      <c r="C12" s="24">
        <f ca="1">ROUND(C11*F12,0)</f>
        <v>420</v>
      </c>
      <c r="D12" s="971"/>
      <c r="E12" s="373"/>
      <c r="F12" s="974">
        <f>'数据-取费表'!B33</f>
        <v>0.03</v>
      </c>
      <c r="G12" s="8" t="s">
        <v>2485</v>
      </c>
      <c r="H12" s="966"/>
      <c r="I12" s="966"/>
      <c r="J12" s="966"/>
      <c r="K12" s="967"/>
    </row>
    <row r="13" spans="1:33" s="973" customFormat="1" ht="13.5" customHeight="1">
      <c r="A13" s="969" t="s">
        <v>1337</v>
      </c>
      <c r="B13" s="970" t="s">
        <v>2486</v>
      </c>
      <c r="C13" s="24">
        <f ca="1">ROUND(IF(C1="",SUMIF('数据-取费表'!C:C,"住宅",'数据-取费表'!P:P)*F13,IF(INDIRECT("'数据-取费表'!c"&amp;$K$1)="住宅",INDIRECT("'数据-取费表'!P"&amp;$K$1)*F13,0)),0)</f>
        <v>541</v>
      </c>
      <c r="D13" s="1031"/>
      <c r="E13" s="373"/>
      <c r="F13" s="974">
        <f>'数据-取费表'!B34</f>
        <v>0.05</v>
      </c>
      <c r="G13" s="8" t="s">
        <v>2487</v>
      </c>
      <c r="H13" s="966"/>
      <c r="I13" s="966"/>
      <c r="J13" s="966"/>
      <c r="K13" s="967"/>
    </row>
    <row r="14" spans="1:33" s="975" customFormat="1" ht="13.5" customHeight="1">
      <c r="A14" s="969" t="s">
        <v>1338</v>
      </c>
      <c r="B14" s="970" t="s">
        <v>2488</v>
      </c>
      <c r="C14" s="24">
        <f ca="1">ROUND(D14*E14*F11/10000,0)</f>
        <v>1135</v>
      </c>
      <c r="D14" s="1031">
        <f ca="1">IF(C1="",'数据-汇总表'!E3,INDIRECT("'数据-取费表'!K"&amp;$K$1)+INDIRECT("'数据-取费表'!S"&amp;$K$1))</f>
        <v>67330.170000000013</v>
      </c>
      <c r="E14" s="24">
        <f>'数据-取费表'!B35</f>
        <v>200</v>
      </c>
      <c r="F14" s="974"/>
      <c r="G14" s="8" t="s">
        <v>2489</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1339</v>
      </c>
      <c r="B15" s="970" t="s">
        <v>2490</v>
      </c>
      <c r="C15" s="981">
        <f ca="1">ROUND(C11*F15,0)</f>
        <v>210</v>
      </c>
      <c r="D15" s="976"/>
      <c r="E15" s="981"/>
      <c r="F15" s="982">
        <f>'数据-取费表'!B36</f>
        <v>1.4999999999999999E-2</v>
      </c>
      <c r="G15" s="137" t="s">
        <v>2491</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2492</v>
      </c>
      <c r="C16" s="981">
        <f ca="1">SUM(C11:C15)</f>
        <v>16301</v>
      </c>
      <c r="D16" s="976"/>
      <c r="E16" s="981"/>
      <c r="F16" s="982"/>
      <c r="G16" s="137"/>
      <c r="H16" s="1575"/>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2493</v>
      </c>
      <c r="C17" s="24">
        <f ca="1">ROUND(D17*E17/10000,0)</f>
        <v>673</v>
      </c>
      <c r="D17" s="1031">
        <f ca="1">D14</f>
        <v>67330.170000000013</v>
      </c>
      <c r="E17" s="24">
        <f>'数据-取费表'!B32</f>
        <v>100</v>
      </c>
      <c r="F17" s="976"/>
      <c r="G17" s="137" t="s">
        <v>2494</v>
      </c>
      <c r="H17" s="1575"/>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1340</v>
      </c>
      <c r="B18" s="970" t="s">
        <v>2495</v>
      </c>
      <c r="C18" s="24">
        <f ca="1">C19+C20-IF(C1="",'数据-取费表'!B29,IF(G18="已全部缴纳",C19+C20,H18))</f>
        <v>1314</v>
      </c>
      <c r="D18" s="1031"/>
      <c r="E18" s="24"/>
      <c r="F18" s="974"/>
      <c r="G18" s="2973" t="s">
        <v>3190</v>
      </c>
      <c r="H18" s="2974">
        <f>成本法!H9</f>
        <v>342</v>
      </c>
      <c r="I18" s="2551" t="s">
        <v>2496</v>
      </c>
      <c r="J18" s="977"/>
      <c r="K18" s="978"/>
    </row>
    <row r="19" spans="1:33" s="973" customFormat="1" ht="13.5" customHeight="1">
      <c r="A19" s="969" t="s">
        <v>805</v>
      </c>
      <c r="B19" s="970" t="s">
        <v>2497</v>
      </c>
      <c r="C19" s="24">
        <f ca="1">ROUND(D19*E19/10000,0)</f>
        <v>1135</v>
      </c>
      <c r="D19" s="1031">
        <f ca="1">IF(C1="",'数据-汇总表'!E5,IF(INDIRECT("'数据-取费表'!c"&amp;$K$1)="住宅",INDIRECT("'数据-取费表'!k"&amp;$K$1),0))</f>
        <v>46157.97</v>
      </c>
      <c r="E19" s="24">
        <f>'数据-取费表'!B27</f>
        <v>246</v>
      </c>
      <c r="F19" s="974"/>
      <c r="G19" s="15"/>
      <c r="H19" s="1576"/>
      <c r="I19" s="979"/>
      <c r="J19" s="979"/>
      <c r="K19" s="980"/>
    </row>
    <row r="20" spans="1:33" s="973" customFormat="1" ht="13.5" customHeight="1">
      <c r="A20" s="969" t="s">
        <v>806</v>
      </c>
      <c r="B20" s="970" t="s">
        <v>2498</v>
      </c>
      <c r="C20" s="24">
        <f ca="1">ROUND(D20*E20/10000,0)</f>
        <v>521</v>
      </c>
      <c r="D20" s="1031">
        <f ca="1">IF(C1="",'数据-汇总表'!E6,IF(INDIRECT("'数据-取费表'!c"&amp;$K$1)="住宅",INDIRECT("'数据-取费表'!s"&amp;$K$1),INDIRECT("'数据-取费表'!k"&amp;$K$1)+INDIRECT("'数据-取费表'!s"&amp;$K$1)))</f>
        <v>21172.200000000012</v>
      </c>
      <c r="E20" s="24">
        <f>'数据-取费表'!B28</f>
        <v>246</v>
      </c>
      <c r="F20" s="974"/>
      <c r="G20" s="15"/>
      <c r="H20" s="979"/>
      <c r="I20" s="979"/>
      <c r="J20" s="979"/>
      <c r="K20" s="980"/>
    </row>
    <row r="21" spans="1:33" s="973" customFormat="1" ht="13.5" customHeight="1">
      <c r="A21" s="959" t="s">
        <v>802</v>
      </c>
      <c r="B21" s="983" t="s">
        <v>2499</v>
      </c>
      <c r="C21" s="984">
        <f ca="1">C16+C17+C18</f>
        <v>18288</v>
      </c>
      <c r="D21" s="985"/>
      <c r="E21" s="323"/>
      <c r="F21" s="323"/>
      <c r="G21" s="137" t="s">
        <v>2500</v>
      </c>
      <c r="H21" s="977"/>
      <c r="I21" s="977"/>
      <c r="J21" s="977"/>
      <c r="K21" s="978"/>
    </row>
    <row r="22" spans="1:33" s="973" customFormat="1" ht="13.5" customHeight="1">
      <c r="A22" s="959" t="s">
        <v>2472</v>
      </c>
      <c r="B22" s="983" t="s">
        <v>2501</v>
      </c>
      <c r="C22" s="984">
        <f ca="1">ROUND(C21*F22,0)</f>
        <v>274</v>
      </c>
      <c r="D22" s="323"/>
      <c r="E22" s="323"/>
      <c r="F22" s="986">
        <f>'数据-取费表'!B37</f>
        <v>1.4999999999999999E-2</v>
      </c>
      <c r="G22" s="8" t="s">
        <v>2502</v>
      </c>
      <c r="H22" s="966"/>
      <c r="I22" s="966"/>
      <c r="J22" s="966"/>
      <c r="K22" s="967"/>
    </row>
    <row r="23" spans="1:33" s="973" customFormat="1" ht="13.5" customHeight="1">
      <c r="A23" s="959" t="s">
        <v>2474</v>
      </c>
      <c r="B23" s="983" t="s">
        <v>2503</v>
      </c>
      <c r="C23" s="984">
        <f ca="1">ROUND(C4*F23*F11,0)</f>
        <v>2794</v>
      </c>
      <c r="D23" s="323"/>
      <c r="E23" s="323"/>
      <c r="F23" s="986">
        <f>'数据-取费表'!B38</f>
        <v>2.5000000000000001E-2</v>
      </c>
      <c r="G23" s="8" t="s">
        <v>2504</v>
      </c>
      <c r="H23" s="966"/>
      <c r="I23" s="966"/>
      <c r="J23" s="966"/>
      <c r="K23" s="967"/>
    </row>
    <row r="24" spans="1:33" s="973" customFormat="1" ht="13.5" customHeight="1">
      <c r="A24" s="959" t="s">
        <v>2505</v>
      </c>
      <c r="B24" s="983" t="s">
        <v>2506</v>
      </c>
      <c r="C24" s="322">
        <f>ROUND(F24/(1+'数据-取费表'!C42),4)</f>
        <v>3.8600000000000002E-2</v>
      </c>
      <c r="D24" s="323" t="s">
        <v>15</v>
      </c>
      <c r="E24" s="323"/>
      <c r="F24" s="986">
        <f>'数据-取费表'!B48+'数据-取费表'!B49</f>
        <v>4.0500000000000001E-2</v>
      </c>
      <c r="G24" s="8" t="s">
        <v>2507</v>
      </c>
      <c r="H24" s="988"/>
      <c r="I24" s="988"/>
      <c r="J24" s="988"/>
      <c r="K24" s="989"/>
    </row>
    <row r="25" spans="1:33" s="973" customFormat="1" ht="13.5" customHeight="1">
      <c r="A25" s="959" t="s">
        <v>2508</v>
      </c>
      <c r="B25" s="985" t="s">
        <v>2509</v>
      </c>
      <c r="C25" s="1354">
        <f ca="1">C27</f>
        <v>654</v>
      </c>
      <c r="D25" s="322">
        <f ca="1">C26</f>
        <v>6.4600000000000005E-2</v>
      </c>
      <c r="E25" s="324" t="s">
        <v>15</v>
      </c>
      <c r="F25" s="325">
        <f ca="1">'数据-取费表'!B40</f>
        <v>4.7500000000000001E-2</v>
      </c>
      <c r="G25" s="137"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2510</v>
      </c>
      <c r="C26" s="1355">
        <f ca="1">ROUND(IF('数据-取费表'!B22&lt;=1,(1+C24)*F25*'数据-取费表'!B24,(1+C24)*(POWER((1+F25),'数据-取费表'!B24)-1)),4)</f>
        <v>6.4600000000000005E-2</v>
      </c>
      <c r="D26" s="326"/>
      <c r="E26" s="327"/>
      <c r="F26" s="328"/>
      <c r="G26" s="2552"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2511</v>
      </c>
      <c r="C27" s="1356">
        <f ca="1">ROUND(IF('数据-取费表'!B22&lt;=1,(C21+C22+C23)*F25*'数据-取费表'!B24/2,(C21+C22+C23)*(POWER((1+F25),'数据-取费表'!B24/2)-1)),0)</f>
        <v>654</v>
      </c>
      <c r="D27" s="326"/>
      <c r="E27" s="327"/>
      <c r="F27" s="328"/>
      <c r="G27" s="2552" t="str">
        <f>IF('数据-取费表'!B22&lt;=1,"（1）-（3）项×年利率×建设期÷2","（1）-（3）项×((1+年利率)^(建设期÷2)-1)")</f>
        <v>（1）-（3）项×((1+年利率)^(建设期÷2)-1)</v>
      </c>
      <c r="H27" s="977"/>
      <c r="I27" s="977"/>
      <c r="J27" s="977"/>
      <c r="K27" s="978"/>
    </row>
    <row r="28" spans="1:33" s="331" customFormat="1" ht="13.5" customHeight="1">
      <c r="A28" s="959" t="s">
        <v>2512</v>
      </c>
      <c r="B28" s="2553" t="s">
        <v>2513</v>
      </c>
      <c r="C28" s="329">
        <f ca="1">C30</f>
        <v>3631</v>
      </c>
      <c r="D28" s="322">
        <f ca="1">C29</f>
        <v>9.1800000000000007E-2</v>
      </c>
      <c r="E28" s="324" t="s">
        <v>15</v>
      </c>
      <c r="F28" s="330">
        <f ca="1">IF(C1="",'数据-取费表'!Q16,INDIRECT("'数据-取费表'!q"&amp;$K$1))</f>
        <v>0.17</v>
      </c>
      <c r="G28" s="987"/>
      <c r="H28" s="988"/>
      <c r="I28" s="988"/>
      <c r="J28" s="988"/>
      <c r="K28" s="989"/>
    </row>
    <row r="29" spans="1:33" s="333" customFormat="1" ht="13.5" customHeight="1">
      <c r="A29" s="969" t="s">
        <v>803</v>
      </c>
      <c r="B29" s="992" t="s">
        <v>2514</v>
      </c>
      <c r="C29" s="326">
        <f ca="1">ROUND((1+C24)*F28*'数据-取费表'!B24/'数据-取费表'!B20,4)</f>
        <v>9.1800000000000007E-2</v>
      </c>
      <c r="D29" s="326"/>
      <c r="E29" s="327"/>
      <c r="F29" s="332"/>
      <c r="G29" s="137" t="s">
        <v>2515</v>
      </c>
      <c r="H29" s="977"/>
      <c r="I29" s="977"/>
      <c r="J29" s="977"/>
      <c r="K29" s="978"/>
    </row>
    <row r="30" spans="1:33" s="333" customFormat="1" ht="13.5" customHeight="1">
      <c r="A30" s="969" t="s">
        <v>804</v>
      </c>
      <c r="B30" s="992" t="s">
        <v>2516</v>
      </c>
      <c r="C30" s="334">
        <f ca="1">ROUND((C21+C22+C23)*F28,0)</f>
        <v>3631</v>
      </c>
      <c r="D30" s="326"/>
      <c r="E30" s="327"/>
      <c r="F30" s="332"/>
      <c r="G30" s="137"/>
      <c r="H30" s="977"/>
      <c r="I30" s="977"/>
      <c r="J30" s="977"/>
      <c r="K30" s="978"/>
    </row>
    <row r="31" spans="1:33" s="973" customFormat="1" ht="13.5" customHeight="1" thickBot="1">
      <c r="A31" s="2554" t="s">
        <v>2517</v>
      </c>
      <c r="B31" s="1003" t="s">
        <v>2518</v>
      </c>
      <c r="C31" s="1004">
        <f ca="1">ROUND(C4*F31/(1+'数据-取费表'!C42),0)</f>
        <v>7071</v>
      </c>
      <c r="D31" s="1005"/>
      <c r="E31" s="1006"/>
      <c r="F31" s="1007">
        <f>'数据-取费表'!B41</f>
        <v>5.6000000000000001E-2</v>
      </c>
      <c r="G31" s="1008" t="s">
        <v>2519</v>
      </c>
      <c r="H31" s="1009"/>
      <c r="I31" s="1009"/>
      <c r="J31" s="1009"/>
      <c r="K31" s="1010"/>
    </row>
    <row r="32" spans="1:33" s="968" customFormat="1" ht="13.5" customHeight="1" thickBot="1">
      <c r="A32" s="998" t="s">
        <v>2520</v>
      </c>
      <c r="B32" s="999"/>
      <c r="C32" s="1000">
        <f ca="1">ROUND((C4-C21-C22-C23-C25-C28-C31)/(1+C24+D25+D28),0)</f>
        <v>83566</v>
      </c>
      <c r="D32" s="999"/>
      <c r="E32" s="999"/>
      <c r="F32" s="999"/>
      <c r="G32" s="1001" t="s">
        <v>2521</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E17" sqref="E17"/>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2" customWidth="1"/>
    <col min="12" max="12" width="16.375" style="300" customWidth="1"/>
    <col min="13" max="13" width="13" style="300"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0"/>
  </cols>
  <sheetData>
    <row r="1" spans="1:37" s="335" customFormat="1" ht="21">
      <c r="A1" s="1830" t="s">
        <v>1591</v>
      </c>
      <c r="B1" s="779"/>
      <c r="C1" s="1834" t="s">
        <v>3192</v>
      </c>
      <c r="D1" s="1817" t="s">
        <v>3136</v>
      </c>
      <c r="E1" s="1818" t="s">
        <v>1388</v>
      </c>
      <c r="F1" s="1281">
        <f ca="1">J53</f>
        <v>36.510000000000005</v>
      </c>
      <c r="G1" s="1833">
        <f>MATCH(C1,'数据-取费表'!A6:A16,0)+5</f>
        <v>11</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1517</v>
      </c>
      <c r="B2" s="1841">
        <f ca="1">C40+J29+L46</f>
        <v>4504</v>
      </c>
      <c r="C2" s="1842" t="s">
        <v>1518</v>
      </c>
      <c r="D2" s="1842"/>
      <c r="E2" s="1843"/>
      <c r="F2" s="1844"/>
      <c r="G2" s="1845"/>
      <c r="H2" s="1837"/>
      <c r="I2" s="1837"/>
      <c r="J2" s="1837"/>
      <c r="K2" s="1838"/>
      <c r="L2" s="1837"/>
      <c r="M2" s="1837"/>
    </row>
    <row r="3" spans="1:37" ht="18" customHeight="1" thickBot="1">
      <c r="A3" s="1846" t="s">
        <v>1519</v>
      </c>
      <c r="B3" s="1847">
        <f ca="1">IF(ISERROR(B2*10000/F43),0,ROUND(B2*10000/F43,0))</f>
        <v>16313</v>
      </c>
      <c r="C3" s="1842" t="s">
        <v>1520</v>
      </c>
      <c r="D3" s="1842"/>
      <c r="E3" s="1843"/>
      <c r="F3" s="1844"/>
      <c r="G3" s="1845"/>
      <c r="H3" s="741" t="s">
        <v>1590</v>
      </c>
      <c r="I3" s="1837"/>
      <c r="J3" s="1837"/>
      <c r="K3" s="1838"/>
      <c r="L3" s="1837"/>
      <c r="M3" s="1837"/>
    </row>
    <row r="4" spans="1:37" ht="18" customHeight="1">
      <c r="A4" s="338" t="s">
        <v>1397</v>
      </c>
      <c r="B4" s="339" t="s">
        <v>1398</v>
      </c>
      <c r="C4" s="339" t="s">
        <v>1399</v>
      </c>
      <c r="D4" s="339" t="s">
        <v>1400</v>
      </c>
      <c r="E4" s="340" t="s">
        <v>1401</v>
      </c>
      <c r="F4" s="341"/>
      <c r="G4" s="1848"/>
      <c r="H4" s="338" t="s">
        <v>1397</v>
      </c>
      <c r="I4" s="339" t="s">
        <v>1398</v>
      </c>
      <c r="J4" s="339" t="s">
        <v>1399</v>
      </c>
      <c r="K4" s="339" t="s">
        <v>1400</v>
      </c>
      <c r="L4" s="340" t="s">
        <v>1401</v>
      </c>
      <c r="M4" s="341"/>
    </row>
    <row r="5" spans="1:37" ht="18" customHeight="1">
      <c r="A5" s="342">
        <v>1</v>
      </c>
      <c r="B5" s="343" t="s">
        <v>1402</v>
      </c>
      <c r="C5" s="1290">
        <f ca="1">C6+C10+C12</f>
        <v>257</v>
      </c>
      <c r="D5" s="1819" t="s">
        <v>1403</v>
      </c>
      <c r="E5" s="1291"/>
      <c r="F5" s="1292"/>
      <c r="G5" s="1848"/>
      <c r="H5" s="342">
        <v>1</v>
      </c>
      <c r="I5" s="343" t="s">
        <v>1402</v>
      </c>
      <c r="J5" s="1290">
        <f ca="1">J6+J10+J12</f>
        <v>0</v>
      </c>
      <c r="K5" s="1819" t="s">
        <v>1403</v>
      </c>
      <c r="L5" s="1291"/>
      <c r="M5" s="1292"/>
    </row>
    <row r="6" spans="1:37" ht="18" customHeight="1">
      <c r="A6" s="1289" t="s">
        <v>1035</v>
      </c>
      <c r="B6" s="3226" t="s">
        <v>1404</v>
      </c>
      <c r="C6" s="1294">
        <f ca="1">ROUND(F6*F8*F7*(1-F9)/10000,0)</f>
        <v>257</v>
      </c>
      <c r="D6" s="162" t="s">
        <v>3039</v>
      </c>
      <c r="E6" s="345" t="s">
        <v>1406</v>
      </c>
      <c r="F6" s="346">
        <f ca="1">INDIRECT("'数据-取费表'!u"&amp;$G$1)</f>
        <v>3</v>
      </c>
      <c r="G6" s="1848"/>
      <c r="H6" s="1289" t="s">
        <v>1035</v>
      </c>
      <c r="I6" s="3226" t="s">
        <v>1404</v>
      </c>
      <c r="J6" s="344">
        <f ca="1">ROUND(M6*M8*M7*(1-M9)/10000,0)</f>
        <v>0</v>
      </c>
      <c r="K6" s="162" t="s">
        <v>3038</v>
      </c>
      <c r="L6" s="345" t="s">
        <v>1406</v>
      </c>
      <c r="M6" s="346">
        <f ca="1">INDIRECT("'数据-取费表'!z"&amp;$G$1)</f>
        <v>0</v>
      </c>
    </row>
    <row r="7" spans="1:37" ht="18" customHeight="1">
      <c r="A7" s="1293"/>
      <c r="B7" s="3227"/>
      <c r="C7" s="1295"/>
      <c r="D7" s="350"/>
      <c r="E7" s="2979" t="s">
        <v>1407</v>
      </c>
      <c r="F7" s="346">
        <f ca="1">IF(INDIRECT("'数据-取费表'!ah"&amp;$G$1)="",INDIRECT("'数据-取费表'!k"&amp;$G$1),INDIRECT("'数据-取费表'!ah"&amp;$G$1))</f>
        <v>2761.03</v>
      </c>
      <c r="G7" s="1848"/>
      <c r="H7" s="347"/>
      <c r="I7" s="3227"/>
      <c r="J7" s="349"/>
      <c r="K7" s="350"/>
      <c r="L7" s="345" t="s">
        <v>1407</v>
      </c>
      <c r="M7" s="346">
        <f ca="1">F7</f>
        <v>2761.03</v>
      </c>
    </row>
    <row r="8" spans="1:37" ht="18" customHeight="1">
      <c r="A8" s="347"/>
      <c r="B8" s="3227"/>
      <c r="C8" s="349"/>
      <c r="D8" s="350"/>
      <c r="E8" s="345" t="s">
        <v>1408</v>
      </c>
      <c r="F8" s="346">
        <f ca="1">INDIRECT("'数据-取费表'!ai"&amp;$G$1)</f>
        <v>365</v>
      </c>
      <c r="G8" s="1848"/>
      <c r="H8" s="347"/>
      <c r="I8" s="3227"/>
      <c r="J8" s="349"/>
      <c r="K8" s="350"/>
      <c r="L8" s="345" t="s">
        <v>1408</v>
      </c>
      <c r="M8" s="346">
        <f ca="1">INDIRECT("'数据-取费表'!ai"&amp;$G$1)</f>
        <v>365</v>
      </c>
    </row>
    <row r="9" spans="1:37" ht="18" customHeight="1">
      <c r="A9" s="347"/>
      <c r="B9" s="3228"/>
      <c r="C9" s="349"/>
      <c r="D9" s="350"/>
      <c r="E9" s="345" t="s">
        <v>1409</v>
      </c>
      <c r="F9" s="355">
        <f ca="1">INDIRECT("'数据-取费表'!w"&amp;$G$1)</f>
        <v>0.15</v>
      </c>
      <c r="G9" s="1848"/>
      <c r="H9" s="347"/>
      <c r="I9" s="3228"/>
      <c r="J9" s="349"/>
      <c r="K9" s="350"/>
      <c r="L9" s="356" t="s">
        <v>1409</v>
      </c>
      <c r="M9" s="357">
        <f ca="1">INDIRECT("'数据-取费表'!ab"&amp;$G$1)</f>
        <v>0</v>
      </c>
    </row>
    <row r="10" spans="1:37" ht="18" customHeight="1">
      <c r="A10" s="1289" t="s">
        <v>1039</v>
      </c>
      <c r="B10" s="1820" t="s">
        <v>1410</v>
      </c>
      <c r="C10" s="359">
        <f ca="1">ROUND(IF(F10="押一",F6*F8*F7/12*F11,IF(F10="押二",F6*F8*F7/12*2*F11,IF(F10="押三",F6*F8*F7/12*3*F11,C11*F11)))/10000,0)</f>
        <v>0</v>
      </c>
      <c r="D10" s="1821" t="s">
        <v>3035</v>
      </c>
      <c r="E10" s="356" t="s">
        <v>1412</v>
      </c>
      <c r="F10" s="2975" t="s">
        <v>3191</v>
      </c>
      <c r="G10" s="1848"/>
      <c r="H10" s="1289" t="s">
        <v>1039</v>
      </c>
      <c r="I10" s="1820" t="s">
        <v>1410</v>
      </c>
      <c r="J10" s="344">
        <f ca="1">ROUND(IF(M10="押一",M6*M8*M7/12*M11,IF(M10="押二",M6*M8*M7/12*2*M11,IF(M10="押三",M6*M8*M7/12*3*M11,J11*M11)))/10000,0)</f>
        <v>0</v>
      </c>
      <c r="K10" s="1821" t="s">
        <v>3035</v>
      </c>
      <c r="L10" s="356" t="s">
        <v>1412</v>
      </c>
      <c r="M10" s="1364" t="s">
        <v>1413</v>
      </c>
    </row>
    <row r="11" spans="1:37" ht="18" customHeight="1">
      <c r="A11" s="351"/>
      <c r="B11" s="1822" t="s">
        <v>1389</v>
      </c>
      <c r="C11" s="1176"/>
      <c r="D11" s="1823"/>
      <c r="E11" s="356" t="s">
        <v>1414</v>
      </c>
      <c r="F11" s="357">
        <f ca="1">'数据-取费表'!B39</f>
        <v>1.4999999999999999E-2</v>
      </c>
      <c r="G11" s="1848"/>
      <c r="H11" s="1297"/>
      <c r="I11" s="1822" t="s">
        <v>1389</v>
      </c>
      <c r="J11" s="1176"/>
      <c r="K11" s="745"/>
      <c r="L11" s="356" t="s">
        <v>1414</v>
      </c>
      <c r="M11" s="1054">
        <f ca="1">'数据-取费表'!B39</f>
        <v>1.4999999999999999E-2</v>
      </c>
    </row>
    <row r="12" spans="1:37" ht="18" customHeight="1" thickBot="1">
      <c r="A12" s="1331" t="s">
        <v>1075</v>
      </c>
      <c r="B12" s="1824" t="s">
        <v>1415</v>
      </c>
      <c r="C12" s="1332"/>
      <c r="D12" s="1333"/>
      <c r="E12" s="1338"/>
      <c r="F12" s="1334"/>
      <c r="G12" s="1848"/>
      <c r="H12" s="1331" t="s">
        <v>1075</v>
      </c>
      <c r="I12" s="1824" t="s">
        <v>1415</v>
      </c>
      <c r="J12" s="1332"/>
      <c r="K12" s="1346"/>
      <c r="L12" s="1338"/>
      <c r="M12" s="1347"/>
    </row>
    <row r="13" spans="1:37" ht="18" customHeight="1" thickTop="1">
      <c r="A13" s="1327">
        <v>2</v>
      </c>
      <c r="B13" s="1328" t="s">
        <v>1416</v>
      </c>
      <c r="C13" s="353">
        <f ca="1">ROUND(C29*F13,0)</f>
        <v>1433</v>
      </c>
      <c r="D13" s="1329" t="s">
        <v>1417</v>
      </c>
      <c r="E13" s="1329" t="s">
        <v>1418</v>
      </c>
      <c r="F13" s="1330">
        <f ca="1">INDIRECT("'数据-取费表'!y"&amp;$G$1)</f>
        <v>1</v>
      </c>
      <c r="G13" s="1848"/>
      <c r="H13" s="1327">
        <v>2</v>
      </c>
      <c r="I13" s="1328" t="s">
        <v>1416</v>
      </c>
      <c r="J13" s="1288">
        <f ca="1">ROUND(J14*J15,0)</f>
        <v>0</v>
      </c>
      <c r="K13" s="1335" t="s">
        <v>1417</v>
      </c>
      <c r="L13" s="1849"/>
      <c r="M13" s="1850"/>
    </row>
    <row r="14" spans="1:37" ht="18" customHeight="1">
      <c r="A14" s="1199" t="s">
        <v>1034</v>
      </c>
      <c r="B14" s="345" t="s">
        <v>1419</v>
      </c>
      <c r="C14" s="361">
        <f ca="1">INDIRECT("'数据-取费表'!m"&amp;$G$1)+INDIRECT("'数据-取费表'!t"&amp;$G$1)</f>
        <v>969</v>
      </c>
      <c r="D14" s="2982" t="s">
        <v>1420</v>
      </c>
      <c r="E14" s="2981"/>
      <c r="F14" s="362"/>
      <c r="G14" s="1848"/>
      <c r="H14" s="1199" t="s">
        <v>1035</v>
      </c>
      <c r="I14" s="345" t="s">
        <v>1421</v>
      </c>
      <c r="J14" s="24">
        <f ca="1">C29</f>
        <v>1433</v>
      </c>
      <c r="K14" s="2978"/>
      <c r="L14" s="977"/>
      <c r="M14" s="978"/>
    </row>
    <row r="15" spans="1:37" s="1855" customFormat="1" ht="18" customHeight="1" thickBot="1">
      <c r="A15" s="1199" t="s">
        <v>1036</v>
      </c>
      <c r="B15" s="345" t="s">
        <v>1422</v>
      </c>
      <c r="C15" s="24">
        <f ca="1">ROUND(C14*F15,0)</f>
        <v>29</v>
      </c>
      <c r="D15" s="363" t="s">
        <v>1423</v>
      </c>
      <c r="E15" s="363" t="s">
        <v>1424</v>
      </c>
      <c r="F15" s="364">
        <f>'数据-取费表'!B33</f>
        <v>0.03</v>
      </c>
      <c r="G15" s="1851"/>
      <c r="H15" s="1337" t="s">
        <v>1039</v>
      </c>
      <c r="I15" s="1338" t="s">
        <v>1418</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1390</v>
      </c>
      <c r="B16" s="345" t="s">
        <v>1425</v>
      </c>
      <c r="C16" s="24">
        <f ca="1">ROUND(INDIRECT("'数据-取费表'!m"&amp;$G$1)*F16,0)</f>
        <v>0</v>
      </c>
      <c r="D16" s="345" t="s">
        <v>1423</v>
      </c>
      <c r="E16" s="345" t="s">
        <v>1424</v>
      </c>
      <c r="F16" s="365">
        <f ca="1">IF(INDIRECT("'数据-取费表'!c"&amp;$G$1)="住宅",'数据-取费表'!B34,0)</f>
        <v>0</v>
      </c>
      <c r="G16" s="1848"/>
      <c r="H16" s="1327" t="s">
        <v>1030</v>
      </c>
      <c r="I16" s="1328" t="s">
        <v>1426</v>
      </c>
      <c r="J16" s="353">
        <f ca="1">ROUND(J17+J22+J23+J24,0)</f>
        <v>42</v>
      </c>
      <c r="K16" s="1335" t="s">
        <v>1427</v>
      </c>
      <c r="L16" s="2984"/>
      <c r="M16" s="1292"/>
    </row>
    <row r="17" spans="1:37" s="1855" customFormat="1" ht="18" customHeight="1">
      <c r="A17" s="1199" t="s">
        <v>1391</v>
      </c>
      <c r="B17" s="345" t="s">
        <v>1428</v>
      </c>
      <c r="C17" s="24">
        <f ca="1">ROUND(F17*(F43+INDIRECT("'数据-取费表'!S"&amp;$G$1))/10000,0)</f>
        <v>56</v>
      </c>
      <c r="D17" s="345" t="s">
        <v>1429</v>
      </c>
      <c r="E17" s="345" t="s">
        <v>1430</v>
      </c>
      <c r="F17" s="26">
        <f>'数据-取费表'!B35</f>
        <v>200</v>
      </c>
      <c r="G17" s="1851"/>
      <c r="H17" s="1199" t="s">
        <v>1035</v>
      </c>
      <c r="I17" s="345" t="s">
        <v>1431</v>
      </c>
      <c r="J17" s="24">
        <f ca="1">ROUND(IF(项目基本情况!B11="自然人",J5*M17,J18+J19+J20),1)</f>
        <v>13.4</v>
      </c>
      <c r="K17" s="2982" t="s">
        <v>1432</v>
      </c>
      <c r="L17" s="2983" t="s">
        <v>1433</v>
      </c>
      <c r="M17" s="366"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1392</v>
      </c>
      <c r="B18" s="345" t="s">
        <v>1434</v>
      </c>
      <c r="C18" s="24">
        <f ca="1">ROUND(C14*F18,0)</f>
        <v>15</v>
      </c>
      <c r="D18" s="345" t="s">
        <v>1423</v>
      </c>
      <c r="E18" s="345" t="s">
        <v>1424</v>
      </c>
      <c r="F18" s="365">
        <f>'数据-取费表'!B36</f>
        <v>1.4999999999999999E-2</v>
      </c>
      <c r="G18" s="1851"/>
      <c r="H18" s="1199" t="s">
        <v>1034</v>
      </c>
      <c r="I18" s="345" t="s">
        <v>1435</v>
      </c>
      <c r="J18" s="24">
        <f ca="1">ROUND(J5*M18/(1+'数据-取费表'!C42),2)</f>
        <v>0</v>
      </c>
      <c r="K18" s="2983" t="s">
        <v>1436</v>
      </c>
      <c r="L18" s="345" t="s">
        <v>1424</v>
      </c>
      <c r="M18" s="365">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5" t="s">
        <v>1437</v>
      </c>
      <c r="C19" s="24">
        <f ca="1">SUM(C14:C18)</f>
        <v>1069</v>
      </c>
      <c r="D19" s="137" t="s">
        <v>1438</v>
      </c>
      <c r="E19" s="2977"/>
      <c r="F19" s="26"/>
      <c r="G19" s="1848"/>
      <c r="H19" s="1199" t="s">
        <v>1036</v>
      </c>
      <c r="I19" s="345" t="s">
        <v>1439</v>
      </c>
      <c r="J19" s="24">
        <f ca="1">IF(K19="按租金收入计税",ROUND(J5*M19,2),ROUND(C29*M19*0.7,2))</f>
        <v>12.04</v>
      </c>
      <c r="K19" s="1825" t="s">
        <v>1440</v>
      </c>
      <c r="L19" s="345" t="s">
        <v>1424</v>
      </c>
      <c r="M19" s="365">
        <f>IF(K19="按租金收入计税",'数据-取费表'!B51,'数据-取费表'!B50)</f>
        <v>1.2E-2</v>
      </c>
    </row>
    <row r="20" spans="1:37" s="1855" customFormat="1" ht="18" customHeight="1">
      <c r="A20" s="1199" t="s">
        <v>1039</v>
      </c>
      <c r="B20" s="345" t="s">
        <v>1441</v>
      </c>
      <c r="C20" s="24">
        <f ca="1">ROUND(C19*F20,0)</f>
        <v>16</v>
      </c>
      <c r="D20" s="367" t="s">
        <v>1442</v>
      </c>
      <c r="E20" s="345" t="s">
        <v>1424</v>
      </c>
      <c r="F20" s="365">
        <f>'数据-取费表'!B37</f>
        <v>1.4999999999999999E-2</v>
      </c>
      <c r="G20" s="1851"/>
      <c r="H20" s="1199" t="s">
        <v>1390</v>
      </c>
      <c r="I20" s="162" t="s">
        <v>1443</v>
      </c>
      <c r="J20" s="25">
        <f ca="1">ROUND(M20*M21/10000,2)</f>
        <v>1.4</v>
      </c>
      <c r="K20" s="368" t="s">
        <v>1444</v>
      </c>
      <c r="L20" s="345" t="s">
        <v>1445</v>
      </c>
      <c r="M20" s="369">
        <f>'数据-取费表'!B52</f>
        <v>16</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5" t="s">
        <v>1446</v>
      </c>
      <c r="C21" s="24" t="s">
        <v>18</v>
      </c>
      <c r="D21" s="367" t="s">
        <v>1447</v>
      </c>
      <c r="E21" s="345" t="s">
        <v>1448</v>
      </c>
      <c r="F21" s="365">
        <f>'数据-取费表'!B38</f>
        <v>2.5000000000000001E-2</v>
      </c>
      <c r="G21" s="1851"/>
      <c r="H21" s="370"/>
      <c r="I21" s="354"/>
      <c r="J21" s="29"/>
      <c r="K21" s="371"/>
      <c r="L21" s="345" t="s">
        <v>1449</v>
      </c>
      <c r="M21" s="346">
        <f ca="1">INDIRECT("'数据-取费表'!r"&amp;$G$1)</f>
        <v>874.08</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1393</v>
      </c>
      <c r="B22" s="345" t="s">
        <v>1450</v>
      </c>
      <c r="C22" s="24"/>
      <c r="D22" s="137" t="str">
        <f>IF(F23&lt;=1,"单利计息。","复利计息。")&amp;"建造成本、管理费用、销售费用产生的利息。"</f>
        <v>复利计息。建造成本、管理费用、销售费用产生的利息。</v>
      </c>
      <c r="E22" s="2977"/>
      <c r="F22" s="26"/>
      <c r="G22" s="1848"/>
      <c r="H22" s="1199" t="s">
        <v>1039</v>
      </c>
      <c r="I22" s="345" t="s">
        <v>1451</v>
      </c>
      <c r="J22" s="24">
        <f ca="1">ROUND(J14*M22,1)</f>
        <v>28.7</v>
      </c>
      <c r="K22" s="2983" t="s">
        <v>1452</v>
      </c>
      <c r="L22" s="345" t="s">
        <v>1424</v>
      </c>
      <c r="M22" s="372">
        <f ca="1">INDIRECT("'数据-取费表'!Ak"&amp;$G$1)</f>
        <v>0.02</v>
      </c>
    </row>
    <row r="23" spans="1:37" s="1855" customFormat="1" ht="18" customHeight="1">
      <c r="A23" s="1199" t="s">
        <v>1034</v>
      </c>
      <c r="B23" s="345" t="s">
        <v>1453</v>
      </c>
      <c r="C23" s="24">
        <f ca="1">IF('数据-取费表'!B22&lt;=1,ROUND(C19*F24*F23/2,0)+ROUND(C20*F24*F23/2,0),ROUND(C19*(POWER((1+F24),F23/2)-1),0)+ROUND(C20*(POWER((1+F24),F23/2)-1),0))</f>
        <v>65</v>
      </c>
      <c r="D23" s="373" t="str">
        <f>IF(F23&lt;=1,"(建造成本+管理费用)×利率×(建设周期÷2)","(建造成本+管理费用)×((1+利率)^(建设周期÷2)-1)")</f>
        <v>(建造成本+管理费用)×((1+利率)^(建设周期÷2)-1)</v>
      </c>
      <c r="E23" s="345" t="s">
        <v>1454</v>
      </c>
      <c r="F23" s="369">
        <f>'数据-取费表'!B20</f>
        <v>2.5</v>
      </c>
      <c r="G23" s="1851"/>
      <c r="H23" s="1199" t="s">
        <v>1075</v>
      </c>
      <c r="I23" s="345" t="s">
        <v>1455</v>
      </c>
      <c r="J23" s="24">
        <f ca="1">ROUND(J13*M23,1)</f>
        <v>0</v>
      </c>
      <c r="K23" s="2983" t="s">
        <v>1456</v>
      </c>
      <c r="L23" s="345" t="s">
        <v>1424</v>
      </c>
      <c r="M23" s="374">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1036</v>
      </c>
      <c r="B24" s="345" t="s">
        <v>1459</v>
      </c>
      <c r="C24" s="24">
        <f ca="1">ROUND(IF('数据-取费表'!B22&lt;=1,F21*F24*F23/2,F21*(POWER((1+F24),F23/2)-1)),4)</f>
        <v>1.5E-3</v>
      </c>
      <c r="D24" s="373" t="str">
        <f>IF(F23&lt;=1,"销售费用×利率×(建设周期÷2)","销售费用×((1+利率)^(建设周期÷2)-1)")</f>
        <v>销售费用×((1+利率)^(建设周期÷2)-1)</v>
      </c>
      <c r="E24" s="345" t="s">
        <v>1460</v>
      </c>
      <c r="F24" s="375">
        <f ca="1">'数据-取费表'!B40</f>
        <v>4.7500000000000001E-2</v>
      </c>
      <c r="G24" s="1851"/>
      <c r="H24" s="1337" t="s">
        <v>1393</v>
      </c>
      <c r="I24" s="1338" t="s">
        <v>1441</v>
      </c>
      <c r="J24" s="1339">
        <f ca="1">ROUND(J5*M24,1)</f>
        <v>0</v>
      </c>
      <c r="K24" s="1340" t="s">
        <v>1461</v>
      </c>
      <c r="L24" s="1338" t="s">
        <v>1424</v>
      </c>
      <c r="M24" s="1334">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1462</v>
      </c>
      <c r="B25" s="345" t="s">
        <v>1463</v>
      </c>
      <c r="C25" s="24"/>
      <c r="D25" s="137" t="s">
        <v>1464</v>
      </c>
      <c r="E25" s="2977"/>
      <c r="F25" s="26"/>
      <c r="G25" s="1848"/>
      <c r="H25" s="1327" t="s">
        <v>1031</v>
      </c>
      <c r="I25" s="1342" t="s">
        <v>1465</v>
      </c>
      <c r="J25" s="353">
        <f ca="1">J5-J16</f>
        <v>-42</v>
      </c>
      <c r="K25" s="1343" t="s">
        <v>1466</v>
      </c>
      <c r="L25" s="1344"/>
      <c r="M25" s="1345"/>
    </row>
    <row r="26" spans="1:37">
      <c r="A26" s="1199" t="s">
        <v>1034</v>
      </c>
      <c r="B26" s="345" t="s">
        <v>1467</v>
      </c>
      <c r="C26" s="24">
        <f ca="1">ROUND((C19+C20)*F26,0)</f>
        <v>163</v>
      </c>
      <c r="D26" s="367" t="s">
        <v>1468</v>
      </c>
      <c r="E26" s="356" t="s">
        <v>1469</v>
      </c>
      <c r="F26" s="355">
        <f ca="1">INDIRECT("'数据-取费表'!q"&amp;$G$1)</f>
        <v>0.15</v>
      </c>
      <c r="G26" s="1848"/>
      <c r="H26" s="342" t="s">
        <v>1032</v>
      </c>
      <c r="I26" s="343" t="s">
        <v>1470</v>
      </c>
      <c r="J26" s="344">
        <f ca="1">IF(J5&lt;&gt;0,ROUND(J25*(1-((1+M28)/(1+M26))^M27)/(M26-M28),0),0)</f>
        <v>0</v>
      </c>
      <c r="K26" s="368" t="s">
        <v>1471</v>
      </c>
      <c r="L26" s="345" t="s">
        <v>1472</v>
      </c>
      <c r="M26" s="355">
        <f ca="1">INDIRECT("'数据-取费表'!I"&amp;$G$1)</f>
        <v>5.5E-2</v>
      </c>
    </row>
    <row r="27" spans="1:37" ht="18" customHeight="1">
      <c r="A27" s="1199" t="s">
        <v>1036</v>
      </c>
      <c r="B27" s="345" t="s">
        <v>1473</v>
      </c>
      <c r="C27" s="24">
        <f ca="1">ROUND(F21*F26,4)</f>
        <v>3.8E-3</v>
      </c>
      <c r="D27" s="367" t="s">
        <v>1474</v>
      </c>
      <c r="E27" s="363"/>
      <c r="F27" s="364"/>
      <c r="G27" s="1848"/>
      <c r="H27" s="347"/>
      <c r="I27" s="348"/>
      <c r="J27" s="349"/>
      <c r="K27" s="376" t="s">
        <v>1475</v>
      </c>
      <c r="L27" s="345" t="s">
        <v>1476</v>
      </c>
      <c r="M27" s="377">
        <f ca="1">INDIRECT("'数据-取费表'!ag"&amp;$G$1)</f>
        <v>0</v>
      </c>
    </row>
    <row r="28" spans="1:37" s="1855" customFormat="1" ht="18" customHeight="1">
      <c r="A28" s="1199" t="s">
        <v>1037</v>
      </c>
      <c r="B28" s="345" t="s">
        <v>1477</v>
      </c>
      <c r="C28" s="24">
        <f>ROUND(F28/(1+'数据-取费表'!C42),4)</f>
        <v>5.33E-2</v>
      </c>
      <c r="D28" s="367" t="s">
        <v>1478</v>
      </c>
      <c r="E28" s="345" t="s">
        <v>1424</v>
      </c>
      <c r="F28" s="365">
        <f>'数据-取费表'!B41</f>
        <v>5.6000000000000001E-2</v>
      </c>
      <c r="G28" s="1851"/>
      <c r="H28" s="351"/>
      <c r="I28" s="352"/>
      <c r="J28" s="353"/>
      <c r="K28" s="371"/>
      <c r="L28" s="345" t="s">
        <v>1479</v>
      </c>
      <c r="M28" s="355">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1480</v>
      </c>
      <c r="C29" s="1339">
        <f ca="1">ROUND((C19+C20+C23+C26)/(1-F21-C24-C27-C28),0)</f>
        <v>1433</v>
      </c>
      <c r="D29" s="1340"/>
      <c r="E29" s="1338"/>
      <c r="F29" s="1341"/>
      <c r="G29" s="1851"/>
      <c r="H29" s="378" t="s">
        <v>1033</v>
      </c>
      <c r="I29" s="379" t="s">
        <v>1481</v>
      </c>
      <c r="J29" s="380">
        <f ca="1">ROUND(J26/(1+F40)^F41,0)</f>
        <v>0</v>
      </c>
      <c r="K29" s="381" t="s">
        <v>1482</v>
      </c>
      <c r="L29" s="382"/>
      <c r="M29" s="383">
        <f ca="1">INDIRECT("'数据-取费表'!k"&amp;$G$1)</f>
        <v>2761.03</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1426</v>
      </c>
      <c r="C30" s="353">
        <f ca="1">ROUND(C31+C36+C37+C38,0)</f>
        <v>64</v>
      </c>
      <c r="D30" s="1335" t="s">
        <v>1427</v>
      </c>
      <c r="E30" s="2984"/>
      <c r="F30" s="1292"/>
      <c r="G30" s="1848"/>
      <c r="H30" s="742"/>
      <c r="I30" s="743"/>
      <c r="J30" s="744"/>
      <c r="K30" s="745"/>
      <c r="L30" s="746"/>
      <c r="M30" s="747"/>
    </row>
    <row r="31" spans="1:37" ht="18" customHeight="1">
      <c r="A31" s="1199" t="s">
        <v>1035</v>
      </c>
      <c r="B31" s="345" t="s">
        <v>1431</v>
      </c>
      <c r="C31" s="24">
        <f ca="1">ROUND(IF(项目基本情况!B11="自然人",C5*F31,C32+C33+C34),1)</f>
        <v>27.2</v>
      </c>
      <c r="D31" s="2982" t="s">
        <v>1432</v>
      </c>
      <c r="E31" s="2983" t="s">
        <v>1483</v>
      </c>
      <c r="F31" s="366" t="str">
        <f ca="1">IF(项目基本情况!B11="企业","",IF(INDIRECT("'数据-取费表'!c"&amp;$G$1)="住宅",5%,IF(F6*F7*F8/12/(1+'数据-取费表'!C42)&gt;20000,12%,7%)))</f>
        <v/>
      </c>
      <c r="G31" s="1848"/>
      <c r="H31" s="742"/>
      <c r="I31" s="743"/>
      <c r="J31" s="744"/>
      <c r="K31" s="745"/>
      <c r="L31" s="746"/>
      <c r="M31" s="747"/>
    </row>
    <row r="32" spans="1:37" ht="18" customHeight="1">
      <c r="A32" s="1199" t="s">
        <v>1034</v>
      </c>
      <c r="B32" s="345" t="s">
        <v>1435</v>
      </c>
      <c r="C32" s="24">
        <f ca="1">IF(项目基本情况!B11="自然人","——",ROUND(C5*F32/(1+'数据-取费表'!C42),2))</f>
        <v>13.71</v>
      </c>
      <c r="D32" s="2983" t="s">
        <v>1436</v>
      </c>
      <c r="E32" s="345" t="s">
        <v>1424</v>
      </c>
      <c r="F32" s="375">
        <f>'数据-取费表'!B41</f>
        <v>5.6000000000000001E-2</v>
      </c>
      <c r="G32" s="1848"/>
      <c r="H32" s="742"/>
      <c r="I32" s="743"/>
      <c r="J32" s="744"/>
      <c r="K32" s="745"/>
      <c r="L32" s="746"/>
      <c r="M32" s="747"/>
    </row>
    <row r="33" spans="1:18" ht="18" customHeight="1">
      <c r="A33" s="1199" t="s">
        <v>1036</v>
      </c>
      <c r="B33" s="345" t="s">
        <v>1439</v>
      </c>
      <c r="C33" s="24">
        <f ca="1">IF(项目基本情况!B11="自然人","——",IF(D33="按租金收入计税",ROUND(C5*F33,2),IF(D33="按房产原值计税",ROUND(C29*F33*0.7,2),INDIRECT("'数据-取费表'!Aj"&amp;$G$1))))</f>
        <v>12.04</v>
      </c>
      <c r="D33" s="1825" t="s">
        <v>1440</v>
      </c>
      <c r="E33" s="345" t="s">
        <v>1424</v>
      </c>
      <c r="F33" s="365">
        <f>IF(D33="按票据","——",IF(D33="按租金收入计税",'数据-取费表'!B51,'数据-取费表'!B50))</f>
        <v>1.2E-2</v>
      </c>
      <c r="G33" s="1848"/>
      <c r="H33" s="1856"/>
      <c r="I33" s="1857"/>
      <c r="J33" s="1858"/>
      <c r="K33" s="1859"/>
      <c r="L33" s="1856"/>
      <c r="M33" s="1856"/>
    </row>
    <row r="34" spans="1:18" ht="18" customHeight="1">
      <c r="A34" s="1289" t="s">
        <v>1390</v>
      </c>
      <c r="B34" s="162" t="s">
        <v>1443</v>
      </c>
      <c r="C34" s="25">
        <f ca="1">IF(项目基本情况!B11="自然人","——",ROUND(F34*F35/10000,2))</f>
        <v>1.4</v>
      </c>
      <c r="D34" s="368" t="s">
        <v>1444</v>
      </c>
      <c r="E34" s="345" t="s">
        <v>1445</v>
      </c>
      <c r="F34" s="369">
        <f>'数据-取费表'!B52</f>
        <v>16</v>
      </c>
      <c r="G34" s="1848"/>
      <c r="H34" s="742"/>
      <c r="I34" s="1857"/>
      <c r="J34" s="1858"/>
      <c r="K34" s="1860"/>
      <c r="L34" s="1861"/>
      <c r="M34" s="1861"/>
    </row>
    <row r="35" spans="1:18" ht="18" customHeight="1">
      <c r="A35" s="1351"/>
      <c r="B35" s="1349"/>
      <c r="C35" s="29"/>
      <c r="D35" s="371"/>
      <c r="E35" s="345" t="s">
        <v>1449</v>
      </c>
      <c r="F35" s="346">
        <f ca="1">INDIRECT("'数据-取费表'!r"&amp;$G$1)</f>
        <v>874.08</v>
      </c>
      <c r="G35" s="1848"/>
      <c r="H35" s="742"/>
      <c r="I35" s="1857"/>
      <c r="J35" s="1858"/>
      <c r="K35" s="1859"/>
      <c r="L35" s="1856"/>
      <c r="M35" s="1856"/>
    </row>
    <row r="36" spans="1:18" ht="18" customHeight="1">
      <c r="A36" s="1350" t="s">
        <v>1039</v>
      </c>
      <c r="B36" s="345" t="s">
        <v>1451</v>
      </c>
      <c r="C36" s="24">
        <f ca="1">ROUND(C29*F36,1)</f>
        <v>28.7</v>
      </c>
      <c r="D36" s="2983" t="s">
        <v>1484</v>
      </c>
      <c r="E36" s="345" t="s">
        <v>1424</v>
      </c>
      <c r="F36" s="372">
        <f ca="1">INDIRECT("'数据-取费表'!Ak"&amp;$G$1)</f>
        <v>0.02</v>
      </c>
      <c r="G36" s="1848"/>
      <c r="H36" s="1856"/>
      <c r="I36" s="1857"/>
      <c r="J36" s="1858"/>
      <c r="K36" s="748"/>
      <c r="L36" s="1856"/>
      <c r="M36" s="1856"/>
    </row>
    <row r="37" spans="1:18" ht="18" customHeight="1">
      <c r="A37" s="1199" t="s">
        <v>1075</v>
      </c>
      <c r="B37" s="345" t="s">
        <v>1455</v>
      </c>
      <c r="C37" s="24">
        <f ca="1">ROUND(C13*F37,1)</f>
        <v>2.9</v>
      </c>
      <c r="D37" s="2983" t="s">
        <v>1456</v>
      </c>
      <c r="E37" s="345" t="s">
        <v>1424</v>
      </c>
      <c r="F37" s="374">
        <f ca="1">INDIRECT("'数据-取费表'!Al"&amp;$G$1)</f>
        <v>2E-3</v>
      </c>
      <c r="G37" s="1848"/>
      <c r="H37" s="1856"/>
      <c r="I37" s="1857"/>
      <c r="J37" s="1858"/>
      <c r="K37" s="748"/>
      <c r="L37" s="1856"/>
      <c r="M37" s="1856"/>
    </row>
    <row r="38" spans="1:18" ht="18" customHeight="1" thickBot="1">
      <c r="A38" s="1337" t="s">
        <v>1393</v>
      </c>
      <c r="B38" s="1338" t="s">
        <v>1441</v>
      </c>
      <c r="C38" s="1339">
        <f ca="1">ROUND(C5*F38,1)</f>
        <v>5.0999999999999996</v>
      </c>
      <c r="D38" s="1340" t="s">
        <v>1461</v>
      </c>
      <c r="E38" s="1338" t="s">
        <v>1424</v>
      </c>
      <c r="F38" s="1334">
        <f ca="1">INDIRECT("'数据-取费表'!Am"&amp;$G$1)</f>
        <v>0.02</v>
      </c>
      <c r="G38" s="1848"/>
      <c r="H38" s="1856"/>
      <c r="I38" s="1857"/>
      <c r="J38" s="1858"/>
      <c r="K38" s="1862"/>
      <c r="L38" s="1856"/>
      <c r="M38" s="1856"/>
    </row>
    <row r="39" spans="1:18" ht="24.6" customHeight="1" thickTop="1">
      <c r="A39" s="1327" t="s">
        <v>1031</v>
      </c>
      <c r="B39" s="1342" t="s">
        <v>1465</v>
      </c>
      <c r="C39" s="353">
        <f ca="1">C5-C30</f>
        <v>193</v>
      </c>
      <c r="D39" s="1343" t="s">
        <v>1466</v>
      </c>
      <c r="E39" s="1344"/>
      <c r="F39" s="1345"/>
      <c r="G39" s="1848"/>
      <c r="H39" s="1856"/>
      <c r="I39" s="1857"/>
      <c r="J39" s="1858"/>
      <c r="K39" s="1862"/>
      <c r="L39" s="1856"/>
      <c r="M39" s="1856"/>
    </row>
    <row r="40" spans="1:18" ht="18" customHeight="1">
      <c r="A40" s="342" t="s">
        <v>1032</v>
      </c>
      <c r="B40" s="343" t="s">
        <v>1487</v>
      </c>
      <c r="C40" s="344">
        <f ca="1">ROUND(C39*(1-((1+F42)/(1+F40))^F41)/(F40-F42),0)</f>
        <v>4504</v>
      </c>
      <c r="D40" s="368" t="s">
        <v>1471</v>
      </c>
      <c r="E40" s="345" t="s">
        <v>1472</v>
      </c>
      <c r="F40" s="355">
        <f ca="1">INDIRECT("'数据-取费表'!I"&amp;$G$1)</f>
        <v>5.5E-2</v>
      </c>
      <c r="G40" s="1848"/>
      <c r="H40" s="1836"/>
      <c r="I40" s="1857"/>
      <c r="J40" s="1858"/>
      <c r="K40" s="1862"/>
      <c r="L40" s="1836"/>
      <c r="M40" s="1836"/>
    </row>
    <row r="41" spans="1:18" ht="18" customHeight="1">
      <c r="A41" s="347"/>
      <c r="B41" s="348"/>
      <c r="C41" s="349"/>
      <c r="D41" s="376" t="s">
        <v>1488</v>
      </c>
      <c r="E41" s="345" t="s">
        <v>1476</v>
      </c>
      <c r="F41" s="377">
        <f ca="1">IF(INDIRECT("'数据-取费表'!af"&amp;$G$1)=0,INDIRECT("'数据-取费表'!ae"&amp;$G$1),INDIRECT("'数据-取费表'!af"&amp;$G$1))</f>
        <v>36.510000000000005</v>
      </c>
      <c r="G41" s="1848"/>
      <c r="H41" s="729"/>
      <c r="I41" s="1857"/>
      <c r="J41" s="1858"/>
      <c r="K41" s="748"/>
      <c r="L41" s="729"/>
      <c r="M41" s="729"/>
    </row>
    <row r="42" spans="1:18" ht="18" customHeight="1">
      <c r="A42" s="351"/>
      <c r="B42" s="352"/>
      <c r="C42" s="353"/>
      <c r="D42" s="371"/>
      <c r="E42" s="345" t="s">
        <v>1479</v>
      </c>
      <c r="F42" s="355">
        <f ca="1">INDIRECT("'数据-取费表'!v"&amp;$G$1)</f>
        <v>0.03</v>
      </c>
      <c r="G42" s="1848"/>
      <c r="H42" s="729"/>
      <c r="I42" s="1857"/>
      <c r="J42" s="1858"/>
      <c r="K42" s="748"/>
      <c r="L42" s="729"/>
      <c r="M42" s="729"/>
    </row>
    <row r="43" spans="1:18" ht="18" customHeight="1" thickBot="1">
      <c r="A43" s="378" t="s">
        <v>1033</v>
      </c>
      <c r="B43" s="379" t="s">
        <v>1489</v>
      </c>
      <c r="C43" s="380">
        <f ca="1">ROUND(C40*10000/F43,0)</f>
        <v>16313</v>
      </c>
      <c r="D43" s="381" t="s">
        <v>1490</v>
      </c>
      <c r="E43" s="382" t="s">
        <v>1491</v>
      </c>
      <c r="F43" s="383">
        <f ca="1">INDIRECT("'数据-取费表'!k"&amp;$G$1)</f>
        <v>2761.03</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3"/>
      <c r="O45" s="1866" t="s">
        <v>1521</v>
      </c>
      <c r="P45" s="1836"/>
      <c r="Q45" s="1836"/>
      <c r="R45" s="1836"/>
    </row>
    <row r="46" spans="1:18" s="1839" customFormat="1" ht="13.5" thickBot="1">
      <c r="A46" s="1867" t="s">
        <v>1522</v>
      </c>
      <c r="C46" s="1868">
        <f ca="1">C68-C40</f>
        <v>-5206</v>
      </c>
      <c r="D46" s="1869" t="str">
        <f>C2</f>
        <v>万元</v>
      </c>
      <c r="E46" s="1863"/>
      <c r="F46" s="1863"/>
      <c r="I46" s="1870" t="s">
        <v>1523</v>
      </c>
      <c r="J46" s="1871"/>
      <c r="K46" s="1872"/>
      <c r="L46" s="1873" t="str">
        <f ca="1">IF(M47="住宅",0,IF(L48&gt;J51,L60,J60))</f>
        <v>0</v>
      </c>
      <c r="O46" s="1874" t="s">
        <v>1524</v>
      </c>
      <c r="P46" s="1875" t="s">
        <v>1525</v>
      </c>
      <c r="Q46" s="1876" t="s">
        <v>1526</v>
      </c>
      <c r="R46" s="1876" t="s">
        <v>1527</v>
      </c>
    </row>
    <row r="47" spans="1:18" s="1839" customFormat="1" ht="13.5" thickBot="1">
      <c r="A47" s="1163" t="s">
        <v>1397</v>
      </c>
      <c r="B47" s="1195" t="s">
        <v>1398</v>
      </c>
      <c r="C47" s="1365" t="s">
        <v>1399</v>
      </c>
      <c r="D47" s="1195" t="s">
        <v>1400</v>
      </c>
      <c r="E47" s="1277" t="s">
        <v>1401</v>
      </c>
      <c r="F47" s="1278"/>
      <c r="G47" s="789"/>
      <c r="I47" s="1877" t="s">
        <v>1528</v>
      </c>
      <c r="J47" s="1878" t="s">
        <v>3134</v>
      </c>
      <c r="K47" s="1879" t="s">
        <v>1529</v>
      </c>
      <c r="L47" s="1880">
        <f ca="1">INDIRECT("'数据-取费表'!d"&amp;$G$1)</f>
        <v>40</v>
      </c>
      <c r="M47" s="1835" t="str">
        <f>IF(ISNUMBER(FIND("住宅",C1)),"住宅","非住宅")</f>
        <v>非住宅</v>
      </c>
      <c r="O47" s="1881" t="s">
        <v>1040</v>
      </c>
      <c r="P47" s="1882" t="s">
        <v>1530</v>
      </c>
      <c r="Q47" s="1883">
        <f ca="1">C40+J29</f>
        <v>4504</v>
      </c>
      <c r="R47" s="1883" t="s">
        <v>1531</v>
      </c>
    </row>
    <row r="48" spans="1:18" s="1839" customFormat="1" ht="28.5" thickBot="1">
      <c r="A48" s="1358" t="s">
        <v>1135</v>
      </c>
      <c r="B48" s="343" t="s">
        <v>1402</v>
      </c>
      <c r="C48" s="2976">
        <f ca="1">C49+C53+C55</f>
        <v>0</v>
      </c>
      <c r="D48" s="1360"/>
      <c r="E48" s="1361"/>
      <c r="F48" s="1179"/>
      <c r="G48" s="789"/>
      <c r="H48" s="790"/>
      <c r="I48" s="1884" t="s">
        <v>1532</v>
      </c>
      <c r="J48" s="1885" t="s">
        <v>3135</v>
      </c>
      <c r="K48" s="1886" t="s">
        <v>1533</v>
      </c>
      <c r="L48" s="1887">
        <f ca="1">INDIRECT("'数据-取费表'!f"&amp;$G$1)</f>
        <v>37.81</v>
      </c>
      <c r="O48" s="1881" t="s">
        <v>1041</v>
      </c>
      <c r="P48" s="1882" t="s">
        <v>1534</v>
      </c>
      <c r="Q48" s="1883" t="str">
        <f ca="1">J60</f>
        <v>0</v>
      </c>
      <c r="R48" s="1883" t="s">
        <v>1535</v>
      </c>
    </row>
    <row r="49" spans="1:18" s="1839" customFormat="1" ht="13.5" thickBot="1">
      <c r="A49" s="1192" t="s">
        <v>1136</v>
      </c>
      <c r="B49" s="1826" t="s">
        <v>1492</v>
      </c>
      <c r="C49" s="1362">
        <f ca="1">ROUND(F49*F51*F50*(1-F52)/10000,0)</f>
        <v>0</v>
      </c>
      <c r="D49" s="1274" t="s">
        <v>3038</v>
      </c>
      <c r="E49" s="1827" t="s">
        <v>1493</v>
      </c>
      <c r="F49" s="1279"/>
      <c r="G49" s="1888"/>
      <c r="H49" s="790"/>
      <c r="I49" s="1884" t="s">
        <v>1536</v>
      </c>
      <c r="J49" s="1889">
        <v>2019</v>
      </c>
      <c r="K49" s="1886" t="s">
        <v>1537</v>
      </c>
      <c r="L49" s="1890"/>
      <c r="O49" s="1891" t="s">
        <v>1042</v>
      </c>
      <c r="P49" s="1882" t="s">
        <v>1538</v>
      </c>
      <c r="Q49" s="1883">
        <f ca="1">C29</f>
        <v>1433</v>
      </c>
      <c r="R49" s="1883" t="s">
        <v>1531</v>
      </c>
    </row>
    <row r="50" spans="1:18" s="1839" customFormat="1" ht="13.5" thickBot="1">
      <c r="A50" s="1193"/>
      <c r="B50" s="1196"/>
      <c r="C50" s="1366"/>
      <c r="D50" s="1170"/>
      <c r="E50" s="1275" t="s">
        <v>1407</v>
      </c>
      <c r="F50" s="1276">
        <f ca="1">F7</f>
        <v>2761.03</v>
      </c>
      <c r="H50" s="790"/>
      <c r="I50" s="1884" t="s">
        <v>1539</v>
      </c>
      <c r="J50" s="1892">
        <f>SUMPRODUCT((I63:I65=J47)*(J62:L62=J48)*(J63:L65))</f>
        <v>60</v>
      </c>
      <c r="K50" s="1886" t="s">
        <v>1540</v>
      </c>
      <c r="L50" s="1890"/>
      <c r="M50" s="1893"/>
      <c r="O50" s="1891" t="s">
        <v>1043</v>
      </c>
      <c r="P50" s="1882" t="s">
        <v>1541</v>
      </c>
      <c r="Q50" s="1894" t="e">
        <f ca="1">J58</f>
        <v>#VALUE!</v>
      </c>
      <c r="R50" s="1883"/>
    </row>
    <row r="51" spans="1:18" s="1839" customFormat="1" ht="13.5" thickBot="1">
      <c r="A51" s="1194"/>
      <c r="B51" s="1196"/>
      <c r="C51" s="1197"/>
      <c r="D51" s="1170"/>
      <c r="E51" s="1198" t="s">
        <v>1408</v>
      </c>
      <c r="F51" s="346">
        <f ca="1">F8</f>
        <v>365</v>
      </c>
      <c r="I51" s="1895" t="s">
        <v>1542</v>
      </c>
      <c r="J51" s="1896">
        <f>IF(J49="",J50,J49+J50-YEAR('数据-取费表'!B2))</f>
        <v>62</v>
      </c>
      <c r="K51" s="1897" t="s">
        <v>1543</v>
      </c>
      <c r="L51" s="1898">
        <f ca="1">ROUND(-PV(INDIRECT("'数据-取费表'!h"&amp;$G$1),L48,(C39-C13*C76),0),0)</f>
        <v>1283</v>
      </c>
      <c r="M51" s="1899"/>
      <c r="O51" s="1891" t="s">
        <v>1044</v>
      </c>
      <c r="P51" s="1882" t="s">
        <v>1544</v>
      </c>
      <c r="Q51" s="1894">
        <f>J52</f>
        <v>0.09</v>
      </c>
      <c r="R51" s="1883"/>
    </row>
    <row r="52" spans="1:18" s="1839" customFormat="1" ht="13.5" thickBot="1">
      <c r="A52" s="1194"/>
      <c r="B52" s="1196"/>
      <c r="C52" s="1197"/>
      <c r="D52" s="1170"/>
      <c r="E52" s="1198" t="s">
        <v>1409</v>
      </c>
      <c r="F52" s="1273"/>
      <c r="I52" s="1900" t="s">
        <v>1545</v>
      </c>
      <c r="J52" s="1901">
        <v>0.09</v>
      </c>
      <c r="K52" s="1900" t="s">
        <v>1546</v>
      </c>
      <c r="L52" s="1901"/>
      <c r="O52" s="1891" t="s">
        <v>1045</v>
      </c>
      <c r="P52" s="1882" t="s">
        <v>1547</v>
      </c>
      <c r="Q52" s="1883">
        <f ca="1">J53</f>
        <v>36.510000000000005</v>
      </c>
      <c r="R52" s="1883" t="s">
        <v>1548</v>
      </c>
    </row>
    <row r="53" spans="1:18" s="1839" customFormat="1" ht="24.75" thickBot="1">
      <c r="A53" s="1402" t="s">
        <v>1137</v>
      </c>
      <c r="B53" s="1828" t="s">
        <v>1410</v>
      </c>
      <c r="C53" s="359">
        <f ca="1">ROUND(IF(F53="押一",F49*F51*F50/12*F11,IF(F53="押二",F49*F51*F50/12*2*F11,IF(F53="押三",F49*F51*F50/12*3*F11,C54*F11)))/10000,0)</f>
        <v>0</v>
      </c>
      <c r="D53" s="1821" t="s">
        <v>3035</v>
      </c>
      <c r="E53" s="356" t="s">
        <v>1412</v>
      </c>
      <c r="F53" s="1364"/>
      <c r="I53" s="1902" t="s">
        <v>1549</v>
      </c>
      <c r="J53" s="1903">
        <f ca="1">IF(M47="住宅",J51,IF(D1="——",MIN(J51,L48),IF(D1="在建（套用方法）",MIN(J51,L48-'数据-取费表'!B24),IF(D1="土地（套用方法）",MIN(J51,L48-'数据-取费表'!B20)))))</f>
        <v>36.510000000000005</v>
      </c>
      <c r="K53" s="3229" t="s">
        <v>1550</v>
      </c>
      <c r="L53" s="3230"/>
      <c r="O53" s="1881" t="s">
        <v>1046</v>
      </c>
      <c r="P53" s="1882" t="s">
        <v>1551</v>
      </c>
      <c r="Q53" s="1883">
        <f ca="1">Q47+Q48</f>
        <v>4504</v>
      </c>
      <c r="R53" s="1883" t="s">
        <v>1047</v>
      </c>
    </row>
    <row r="54" spans="1:18" s="1839" customFormat="1" ht="13.5" thickBot="1">
      <c r="A54" s="1403"/>
      <c r="B54" s="1822" t="s">
        <v>1389</v>
      </c>
      <c r="C54" s="1176"/>
      <c r="D54" s="1821"/>
      <c r="E54" s="298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1552</v>
      </c>
      <c r="P54" s="1836"/>
      <c r="Q54" s="1836"/>
      <c r="R54" s="1836"/>
    </row>
    <row r="55" spans="1:18" s="1839" customFormat="1" ht="13.5" thickBot="1">
      <c r="A55" s="1331" t="s">
        <v>1075</v>
      </c>
      <c r="B55" s="1824" t="s">
        <v>1415</v>
      </c>
      <c r="C55" s="1332"/>
      <c r="D55" s="1821"/>
      <c r="E55" s="2980"/>
      <c r="F55" s="1904"/>
      <c r="I55" s="1907" t="s">
        <v>1553</v>
      </c>
      <c r="J55" s="1908" t="e">
        <f ca="1">ROUND(IF(J47="钢混",J57/J50,1-(1-2%)*(J50-J57)/J50),3)</f>
        <v>#VALUE!</v>
      </c>
      <c r="K55" s="1909" t="s">
        <v>1554</v>
      </c>
      <c r="L55" s="1910" t="s">
        <v>1555</v>
      </c>
      <c r="O55" s="1874" t="s">
        <v>1524</v>
      </c>
      <c r="P55" s="1875" t="s">
        <v>1525</v>
      </c>
      <c r="Q55" s="1876" t="s">
        <v>1526</v>
      </c>
      <c r="R55" s="1876" t="s">
        <v>1527</v>
      </c>
    </row>
    <row r="56" spans="1:18" s="1839" customFormat="1" ht="25.5" thickTop="1" thickBot="1">
      <c r="A56" s="1174">
        <v>2</v>
      </c>
      <c r="B56" s="1175" t="s">
        <v>1416</v>
      </c>
      <c r="C56" s="274">
        <f ca="1">C13</f>
        <v>1433</v>
      </c>
      <c r="D56" s="1911"/>
      <c r="E56" s="1912"/>
      <c r="F56" s="1904"/>
      <c r="I56" s="1913" t="s">
        <v>1556</v>
      </c>
      <c r="J56" s="1914" t="s">
        <v>3082</v>
      </c>
      <c r="K56" s="1884" t="s">
        <v>1557</v>
      </c>
      <c r="L56" s="1887" t="str">
        <f ca="1">IF(L48&lt;J51,"——",L48-J53)</f>
        <v>——</v>
      </c>
      <c r="O56" s="1881" t="s">
        <v>1040</v>
      </c>
      <c r="P56" s="1882" t="s">
        <v>1530</v>
      </c>
      <c r="Q56" s="1883">
        <f ca="1">C40+J29</f>
        <v>4504</v>
      </c>
      <c r="R56" s="1883" t="s">
        <v>1531</v>
      </c>
    </row>
    <row r="57" spans="1:18" s="1839" customFormat="1" ht="24.75" thickBot="1">
      <c r="A57" s="1915"/>
      <c r="B57" s="1167" t="s">
        <v>1480</v>
      </c>
      <c r="C57" s="280">
        <f ca="1">C29</f>
        <v>1433</v>
      </c>
      <c r="D57" s="1916"/>
      <c r="E57" s="1917"/>
      <c r="F57" s="1918"/>
      <c r="I57" s="1919" t="s">
        <v>1558</v>
      </c>
      <c r="J57" s="1920" t="str">
        <f ca="1">IF(OR(M47="住宅",J51&lt;L48,J56="是"),"——",J51-L48)</f>
        <v>——</v>
      </c>
      <c r="K57" s="1884" t="s">
        <v>1559</v>
      </c>
      <c r="L57" s="1887" t="str">
        <f ca="1">IF(L48&lt;J51,"——",IF(L55="比较法",L49,IF(L55="基准地价",L50,L51)))</f>
        <v>——</v>
      </c>
      <c r="O57" s="1881" t="s">
        <v>1041</v>
      </c>
      <c r="P57" s="1882" t="s">
        <v>1560</v>
      </c>
      <c r="Q57" s="1883">
        <f ca="1">L60</f>
        <v>0</v>
      </c>
      <c r="R57" s="1883" t="s">
        <v>1561</v>
      </c>
    </row>
    <row r="58" spans="1:18" s="1839" customFormat="1" ht="24.75" thickBot="1">
      <c r="A58" s="358" t="s">
        <v>1030</v>
      </c>
      <c r="B58" s="1175" t="s">
        <v>1426</v>
      </c>
      <c r="C58" s="359">
        <f ca="1">ROUND(C59+C64+C65+C66,0)</f>
        <v>45</v>
      </c>
      <c r="D58" s="1177" t="s">
        <v>1427</v>
      </c>
      <c r="E58" s="1178"/>
      <c r="F58" s="1179"/>
      <c r="I58" s="1919" t="s">
        <v>1562</v>
      </c>
      <c r="J58" s="1921" t="e">
        <f ca="1">IF(J55&lt;0.4,0.4,J55)</f>
        <v>#VALUE!</v>
      </c>
      <c r="K58" s="1897" t="s">
        <v>1563</v>
      </c>
      <c r="L58" s="1887" t="e">
        <f ca="1">ROUND(POWER(1+L52,L47-L48)*(POWER(1+L52,L48)-1)/(POWER(1+L52,L47)-1),4)</f>
        <v>#DIV/0!</v>
      </c>
      <c r="O58" s="1891" t="s">
        <v>1042</v>
      </c>
      <c r="P58" s="1882" t="s">
        <v>1564</v>
      </c>
      <c r="Q58" s="1883">
        <f>IF(L55="比较法",L49,IF(L55="基准地价",L50,0))</f>
        <v>0</v>
      </c>
      <c r="R58" s="1883" t="s">
        <v>1531</v>
      </c>
    </row>
    <row r="59" spans="1:18" s="1839" customFormat="1" ht="24.75" thickBot="1">
      <c r="A59" s="1199" t="s">
        <v>1035</v>
      </c>
      <c r="B59" s="1167" t="s">
        <v>1431</v>
      </c>
      <c r="C59" s="24">
        <f ca="1">ROUND(IF(项目基本情况!B11="自然人",C48*F59,C60+C61+C62),1)</f>
        <v>13.4</v>
      </c>
      <c r="D59" s="1180" t="s">
        <v>1432</v>
      </c>
      <c r="E59" s="1181" t="s">
        <v>1433</v>
      </c>
      <c r="F59" s="366" t="str">
        <f ca="1">IF(项目基本情况!B11="企业","",IF(INDIRECT("'数据-取费表'!c"&amp;$G$1)="住宅",5%,IF(F49*F50*F51/12/(1+'数据-取费表'!C42)&gt;20000,12%,7%)))</f>
        <v/>
      </c>
      <c r="I59" s="1919" t="s">
        <v>1565</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1566</v>
      </c>
      <c r="Q59" s="1894">
        <f>L52</f>
        <v>0</v>
      </c>
      <c r="R59" s="1883"/>
    </row>
    <row r="60" spans="1:18" s="1839" customFormat="1" ht="16.5" thickBot="1">
      <c r="A60" s="1199" t="s">
        <v>1034</v>
      </c>
      <c r="B60" s="1167" t="s">
        <v>1435</v>
      </c>
      <c r="C60" s="24">
        <f ca="1">IF(项目基本情况!B11="自然人","——",ROUND(C48*F60/(1+'数据-取费表'!C42),2))</f>
        <v>0</v>
      </c>
      <c r="D60" s="1181" t="s">
        <v>1436</v>
      </c>
      <c r="E60" s="1167" t="s">
        <v>1424</v>
      </c>
      <c r="F60" s="375">
        <f t="shared" ref="F60:F66" si="0">F32</f>
        <v>5.6000000000000001E-2</v>
      </c>
      <c r="I60" s="1922" t="s">
        <v>1567</v>
      </c>
      <c r="J60" s="1923" t="str">
        <f ca="1">IF(OR(M47="住宅",J51&lt;L48,J56="是"),"0",ROUND(J59/(1+J52)^J53,0))</f>
        <v>0</v>
      </c>
      <c r="K60" s="1924" t="s">
        <v>1568</v>
      </c>
      <c r="L60" s="1923">
        <f ca="1">IF(OR(M47="住宅",L48&lt;J51),0,ROUND(L57*(L58/L59-1),0))</f>
        <v>0</v>
      </c>
      <c r="O60" s="1891" t="s">
        <v>1044</v>
      </c>
      <c r="P60" s="1882" t="s">
        <v>1569</v>
      </c>
      <c r="Q60" s="1883" t="e">
        <f ca="1">L58</f>
        <v>#DIV/0!</v>
      </c>
      <c r="R60" s="1883" t="s">
        <v>1570</v>
      </c>
    </row>
    <row r="61" spans="1:18" s="1839" customFormat="1" ht="13.5" thickBot="1">
      <c r="A61" s="1199" t="s">
        <v>1494</v>
      </c>
      <c r="B61" s="1167" t="s">
        <v>1439</v>
      </c>
      <c r="C61" s="24">
        <f ca="1">IF(项目基本情况!B11="自然人","——",IF(D61="按租金收入计税",ROUND(C48*F61,2),IF(D61="按房产原值计税",ROUND(C57*F61*0.7,2),INDIRECT("'数据-取费表'!Aj"&amp;$G$1))))</f>
        <v>12.04</v>
      </c>
      <c r="D61" s="1825" t="s">
        <v>1440</v>
      </c>
      <c r="E61" s="1167" t="s">
        <v>1424</v>
      </c>
      <c r="F61" s="365">
        <f t="shared" si="0"/>
        <v>1.2E-2</v>
      </c>
      <c r="I61" s="1925"/>
      <c r="J61" s="1925"/>
      <c r="K61" s="1925"/>
      <c r="L61" s="1925"/>
      <c r="O61" s="1891" t="s">
        <v>1045</v>
      </c>
      <c r="P61" s="1882" t="str">
        <f>K59</f>
        <v>续建工期及建筑物耐用年限下的土地年期修正系数Kn</v>
      </c>
      <c r="Q61" s="1883" t="e">
        <f ca="1">L59</f>
        <v>#DIV/0!</v>
      </c>
      <c r="R61" s="1883" t="s">
        <v>1571</v>
      </c>
    </row>
    <row r="62" spans="1:18" s="1839" customFormat="1" ht="13.5" thickBot="1">
      <c r="A62" s="1199" t="s">
        <v>1497</v>
      </c>
      <c r="B62" s="1166" t="s">
        <v>1443</v>
      </c>
      <c r="C62" s="25">
        <f ca="1">IF(项目基本情况!B11="自然人","——",ROUND(F62*F63/10000,2))</f>
        <v>1.4</v>
      </c>
      <c r="D62" s="1182" t="s">
        <v>1444</v>
      </c>
      <c r="E62" s="1167" t="s">
        <v>1445</v>
      </c>
      <c r="F62" s="369">
        <f t="shared" si="0"/>
        <v>16</v>
      </c>
      <c r="I62" s="1926" t="s">
        <v>1572</v>
      </c>
      <c r="J62" s="1927" t="s">
        <v>1573</v>
      </c>
      <c r="K62" s="1927" t="s">
        <v>1574</v>
      </c>
      <c r="L62" s="1927" t="s">
        <v>1575</v>
      </c>
      <c r="M62" s="1928" t="s">
        <v>1576</v>
      </c>
      <c r="O62" s="1881" t="s">
        <v>1046</v>
      </c>
      <c r="P62" s="1882" t="s">
        <v>1551</v>
      </c>
      <c r="Q62" s="1883">
        <f ca="1">Q56+Q57</f>
        <v>4504</v>
      </c>
      <c r="R62" s="1883" t="s">
        <v>1047</v>
      </c>
    </row>
    <row r="63" spans="1:18" s="1839" customFormat="1" ht="13.5" thickBot="1">
      <c r="A63" s="370"/>
      <c r="B63" s="1173"/>
      <c r="C63" s="29"/>
      <c r="D63" s="1183"/>
      <c r="E63" s="1167" t="s">
        <v>1449</v>
      </c>
      <c r="F63" s="346">
        <f t="shared" ca="1" si="0"/>
        <v>874.08</v>
      </c>
      <c r="I63" s="1926" t="s">
        <v>1578</v>
      </c>
      <c r="J63" s="1927">
        <v>70</v>
      </c>
      <c r="K63" s="1927">
        <v>50</v>
      </c>
      <c r="L63" s="1927">
        <v>80</v>
      </c>
      <c r="M63" s="1929">
        <v>0.02</v>
      </c>
      <c r="O63" s="1866" t="s">
        <v>1579</v>
      </c>
      <c r="P63" s="1836"/>
      <c r="Q63" s="1836"/>
      <c r="R63" s="1836"/>
    </row>
    <row r="64" spans="1:18" s="1839" customFormat="1" ht="13.5" thickBot="1">
      <c r="A64" s="1199" t="s">
        <v>1039</v>
      </c>
      <c r="B64" s="1167" t="s">
        <v>1451</v>
      </c>
      <c r="C64" s="24">
        <f ca="1">ROUND(C57*F64,1)</f>
        <v>28.7</v>
      </c>
      <c r="D64" s="1181" t="s">
        <v>1484</v>
      </c>
      <c r="E64" s="1167" t="s">
        <v>1424</v>
      </c>
      <c r="F64" s="372">
        <f t="shared" ca="1" si="0"/>
        <v>0.02</v>
      </c>
      <c r="I64" s="1926" t="s">
        <v>1580</v>
      </c>
      <c r="J64" s="1927">
        <v>50</v>
      </c>
      <c r="K64" s="1927">
        <v>35</v>
      </c>
      <c r="L64" s="1927">
        <v>60</v>
      </c>
      <c r="M64" s="1928">
        <v>0</v>
      </c>
      <c r="O64" s="1874" t="s">
        <v>1524</v>
      </c>
      <c r="P64" s="1875" t="s">
        <v>1525</v>
      </c>
      <c r="Q64" s="1876" t="s">
        <v>1526</v>
      </c>
      <c r="R64" s="1876" t="s">
        <v>1527</v>
      </c>
    </row>
    <row r="65" spans="1:18" s="1839" customFormat="1" ht="13.5" thickBot="1">
      <c r="A65" s="1199" t="s">
        <v>1505</v>
      </c>
      <c r="B65" s="1167" t="s">
        <v>1455</v>
      </c>
      <c r="C65" s="24">
        <f ca="1">ROUND(C56*F65,1)</f>
        <v>2.9</v>
      </c>
      <c r="D65" s="1181" t="s">
        <v>1456</v>
      </c>
      <c r="E65" s="1167" t="s">
        <v>1424</v>
      </c>
      <c r="F65" s="374">
        <f t="shared" ca="1" si="0"/>
        <v>2E-3</v>
      </c>
      <c r="I65" s="1926" t="s">
        <v>1581</v>
      </c>
      <c r="J65" s="1927">
        <v>40</v>
      </c>
      <c r="K65" s="1927">
        <v>30</v>
      </c>
      <c r="L65" s="1927">
        <v>50</v>
      </c>
      <c r="M65" s="1929">
        <v>0.02</v>
      </c>
      <c r="O65" s="1881" t="s">
        <v>1040</v>
      </c>
      <c r="P65" s="1882" t="s">
        <v>1530</v>
      </c>
      <c r="Q65" s="1883">
        <f ca="1">C40+J29</f>
        <v>4504</v>
      </c>
      <c r="R65" s="1883" t="s">
        <v>1531</v>
      </c>
    </row>
    <row r="66" spans="1:18" s="1839" customFormat="1" ht="16.5" thickBot="1">
      <c r="A66" s="1199" t="s">
        <v>1506</v>
      </c>
      <c r="B66" s="1167" t="s">
        <v>1441</v>
      </c>
      <c r="C66" s="24">
        <f ca="1">ROUND(C48*F66,1)</f>
        <v>0</v>
      </c>
      <c r="D66" s="1181" t="s">
        <v>1461</v>
      </c>
      <c r="E66" s="1167" t="s">
        <v>1424</v>
      </c>
      <c r="F66" s="355">
        <f t="shared" ca="1" si="0"/>
        <v>0.02</v>
      </c>
      <c r="O66" s="1881" t="s">
        <v>1041</v>
      </c>
      <c r="P66" s="1882" t="s">
        <v>1560</v>
      </c>
      <c r="Q66" s="1883">
        <f ca="1">L60</f>
        <v>0</v>
      </c>
      <c r="R66" s="1883" t="s">
        <v>1583</v>
      </c>
    </row>
    <row r="67" spans="1:18" s="1839" customFormat="1" ht="16.5" thickBot="1">
      <c r="A67" s="1174" t="s">
        <v>1031</v>
      </c>
      <c r="B67" s="1184" t="s">
        <v>1465</v>
      </c>
      <c r="C67" s="359">
        <f ca="1">C48-C58</f>
        <v>-45</v>
      </c>
      <c r="D67" s="1180" t="s">
        <v>1466</v>
      </c>
      <c r="E67" s="1185"/>
      <c r="F67" s="1186"/>
      <c r="O67" s="1891" t="s">
        <v>1042</v>
      </c>
      <c r="P67" s="1882" t="s">
        <v>1564</v>
      </c>
      <c r="Q67" s="1930">
        <f ca="1">L51</f>
        <v>1283</v>
      </c>
      <c r="R67" s="1883" t="s">
        <v>1584</v>
      </c>
    </row>
    <row r="68" spans="1:18" s="1839" customFormat="1" ht="16.5" thickBot="1">
      <c r="A68" s="1164" t="s">
        <v>1032</v>
      </c>
      <c r="B68" s="1165" t="s">
        <v>1487</v>
      </c>
      <c r="C68" s="344">
        <f ca="1">ROUND(C67*(1-((1+F70)/(1+F68))^F69)/(F68-F70),0)</f>
        <v>-702</v>
      </c>
      <c r="D68" s="1182" t="s">
        <v>1471</v>
      </c>
      <c r="E68" s="1167" t="s">
        <v>1472</v>
      </c>
      <c r="F68" s="355">
        <f ca="1">F40</f>
        <v>5.5E-2</v>
      </c>
      <c r="O68" s="1891" t="s">
        <v>1043</v>
      </c>
      <c r="P68" s="1931" t="s">
        <v>1585</v>
      </c>
      <c r="Q68" s="1883">
        <f ca="1">ROUND(Q69-Q70*Q71,0)</f>
        <v>71</v>
      </c>
      <c r="R68" s="1883" t="s">
        <v>1051</v>
      </c>
    </row>
    <row r="69" spans="1:18" s="1839" customFormat="1" ht="13.5" thickBot="1">
      <c r="A69" s="1168"/>
      <c r="B69" s="1169"/>
      <c r="C69" s="349"/>
      <c r="D69" s="1187" t="s">
        <v>1475</v>
      </c>
      <c r="E69" s="1167" t="s">
        <v>1476</v>
      </c>
      <c r="F69" s="377">
        <f ca="1">F41</f>
        <v>36.510000000000005</v>
      </c>
      <c r="O69" s="1891" t="s">
        <v>1048</v>
      </c>
      <c r="P69" s="1931" t="s">
        <v>1586</v>
      </c>
      <c r="Q69" s="1883">
        <f ca="1">C39</f>
        <v>193</v>
      </c>
      <c r="R69" s="1883" t="s">
        <v>1531</v>
      </c>
    </row>
    <row r="70" spans="1:18" s="1839" customFormat="1" ht="13.5" thickBot="1">
      <c r="A70" s="1171"/>
      <c r="B70" s="1172"/>
      <c r="C70" s="353"/>
      <c r="D70" s="1183"/>
      <c r="E70" s="1167" t="s">
        <v>1479</v>
      </c>
      <c r="F70" s="1273"/>
      <c r="O70" s="1891" t="s">
        <v>1049</v>
      </c>
      <c r="P70" s="1931" t="s">
        <v>1587</v>
      </c>
      <c r="Q70" s="1883">
        <f ca="1">C13</f>
        <v>1433</v>
      </c>
      <c r="R70" s="1883" t="s">
        <v>1531</v>
      </c>
    </row>
    <row r="71" spans="1:18" s="1839" customFormat="1" ht="13.5" thickBot="1">
      <c r="A71" s="1188" t="s">
        <v>1033</v>
      </c>
      <c r="B71" s="1189" t="s">
        <v>1489</v>
      </c>
      <c r="C71" s="380">
        <f ca="1">ROUND(C68*10000/F71,0)</f>
        <v>-2543</v>
      </c>
      <c r="D71" s="1190" t="s">
        <v>1490</v>
      </c>
      <c r="E71" s="1191" t="s">
        <v>1491</v>
      </c>
      <c r="F71" s="383">
        <f ca="1">F43</f>
        <v>2761.03</v>
      </c>
      <c r="O71" s="1891" t="s">
        <v>1050</v>
      </c>
      <c r="P71" s="1931" t="s">
        <v>1588</v>
      </c>
      <c r="Q71" s="1894">
        <f ca="1">C76</f>
        <v>8.5000000000000006E-2</v>
      </c>
      <c r="R71" s="1883"/>
    </row>
    <row r="72" spans="1:18" s="1839" customFormat="1" ht="13.5" thickBot="1">
      <c r="B72" s="793"/>
      <c r="C72" s="793"/>
      <c r="O72" s="1891" t="s">
        <v>1044</v>
      </c>
      <c r="P72" s="1882" t="s">
        <v>1566</v>
      </c>
      <c r="Q72" s="1894">
        <f>L52</f>
        <v>0</v>
      </c>
      <c r="R72" s="1883"/>
    </row>
    <row r="73" spans="1:18" ht="16.5" thickBot="1">
      <c r="A73" s="1839"/>
      <c r="B73" s="793"/>
      <c r="C73" s="793"/>
      <c r="D73" s="1839"/>
      <c r="E73" s="1839"/>
      <c r="F73" s="1839"/>
      <c r="O73" s="1891" t="s">
        <v>1045</v>
      </c>
      <c r="P73" s="1882" t="s">
        <v>1569</v>
      </c>
      <c r="Q73" s="1883" t="e">
        <f ca="1">L58</f>
        <v>#DIV/0!</v>
      </c>
      <c r="R73" s="1883" t="s">
        <v>1570</v>
      </c>
    </row>
    <row r="74" spans="1:18" ht="13.5" thickBot="1">
      <c r="A74" s="1839"/>
      <c r="B74" s="315" t="s">
        <v>1589</v>
      </c>
      <c r="C74" s="1933"/>
      <c r="D74" s="1839"/>
      <c r="E74" s="1839"/>
      <c r="F74" s="1839"/>
      <c r="O74" s="1891" t="s">
        <v>1052</v>
      </c>
      <c r="P74" s="1882" t="str">
        <f>K59</f>
        <v>续建工期及建筑物耐用年限下的土地年期修正系数Kn</v>
      </c>
      <c r="Q74" s="1883" t="e">
        <f ca="1">L59</f>
        <v>#DIV/0!</v>
      </c>
      <c r="R74" s="1883" t="s">
        <v>1571</v>
      </c>
    </row>
    <row r="75" spans="1:18" ht="13.5" thickBot="1">
      <c r="A75" s="1839"/>
      <c r="B75" s="384" t="s">
        <v>1508</v>
      </c>
      <c r="C75" s="385">
        <f ca="1">ROUND(C13*C76,0)</f>
        <v>122</v>
      </c>
      <c r="D75" s="1839"/>
      <c r="E75" s="1839"/>
      <c r="F75" s="1839"/>
      <c r="K75" s="1865"/>
      <c r="L75" s="1839"/>
      <c r="O75" s="1881" t="s">
        <v>1046</v>
      </c>
      <c r="P75" s="1882" t="s">
        <v>1551</v>
      </c>
      <c r="Q75" s="1883">
        <f ca="1">Q65+Q66</f>
        <v>4504</v>
      </c>
      <c r="R75" s="1883" t="s">
        <v>1047</v>
      </c>
    </row>
    <row r="76" spans="1:18">
      <c r="B76" s="386" t="s">
        <v>1509</v>
      </c>
      <c r="C76" s="387">
        <f ca="1">INDIRECT("'数据-取费表'!j"&amp;$G$1)</f>
        <v>8.5000000000000006E-2</v>
      </c>
      <c r="I76" s="1839"/>
      <c r="J76" s="1839"/>
      <c r="K76" s="1865"/>
      <c r="L76" s="1839"/>
    </row>
    <row r="77" spans="1:18">
      <c r="B77" s="388" t="s">
        <v>1510</v>
      </c>
      <c r="C77" s="389"/>
      <c r="I77" s="1839"/>
      <c r="J77" s="1839"/>
      <c r="K77" s="1865"/>
      <c r="L77" s="1839"/>
    </row>
    <row r="78" spans="1:18">
      <c r="B78" s="312" t="s">
        <v>1511</v>
      </c>
      <c r="C78" s="390"/>
    </row>
    <row r="79" spans="1:18">
      <c r="B79" s="384" t="s">
        <v>1512</v>
      </c>
      <c r="C79" s="316">
        <f ca="1">1-C80</f>
        <v>0.36799999999999999</v>
      </c>
    </row>
    <row r="80" spans="1:18">
      <c r="B80" s="384" t="s">
        <v>1513</v>
      </c>
      <c r="C80" s="316">
        <f ca="1">ROUND(C75/C39,3)</f>
        <v>0.63200000000000001</v>
      </c>
    </row>
    <row r="81" spans="2:3">
      <c r="B81" s="312" t="s">
        <v>1514</v>
      </c>
      <c r="C81" s="280"/>
    </row>
    <row r="82" spans="2:3">
      <c r="B82" s="315" t="s">
        <v>1515</v>
      </c>
      <c r="C82" s="317">
        <f ca="1">1-C83</f>
        <v>0.68199999999999994</v>
      </c>
    </row>
    <row r="83" spans="2:3">
      <c r="B83" s="315" t="s">
        <v>1516</v>
      </c>
      <c r="C83" s="316">
        <f ca="1">ROUND(C13/C40,3)</f>
        <v>0.318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10" sqref="F10"/>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2" customWidth="1"/>
    <col min="12" max="12" width="16.375" style="300" customWidth="1"/>
    <col min="13" max="13" width="13" style="300"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0"/>
  </cols>
  <sheetData>
    <row r="1" spans="1:37" s="335" customFormat="1" ht="21">
      <c r="A1" s="1830" t="s">
        <v>1591</v>
      </c>
      <c r="B1" s="779"/>
      <c r="C1" s="1834" t="s">
        <v>3173</v>
      </c>
      <c r="D1" s="1817" t="s">
        <v>3136</v>
      </c>
      <c r="E1" s="1818" t="s">
        <v>1388</v>
      </c>
      <c r="F1" s="1281">
        <f ca="1">J53</f>
        <v>36.510000000000005</v>
      </c>
      <c r="G1" s="1833">
        <f>MATCH(C1,'数据-取费表'!A6:A16,0)+5</f>
        <v>10</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1517</v>
      </c>
      <c r="B2" s="1841">
        <f ca="1">C40+J29+L46</f>
        <v>10781</v>
      </c>
      <c r="C2" s="1842" t="s">
        <v>1518</v>
      </c>
      <c r="D2" s="1842"/>
      <c r="E2" s="1843"/>
      <c r="F2" s="1844"/>
      <c r="G2" s="1845"/>
      <c r="H2" s="1837"/>
      <c r="I2" s="1837"/>
      <c r="J2" s="1837"/>
      <c r="K2" s="1838"/>
      <c r="L2" s="1837"/>
      <c r="M2" s="1837"/>
    </row>
    <row r="3" spans="1:37" ht="18" customHeight="1" thickBot="1">
      <c r="A3" s="1846" t="s">
        <v>1519</v>
      </c>
      <c r="B3" s="1847">
        <f ca="1">IF(ISERROR(B2*10000/F43),0,ROUND(B2*10000/F43,0))</f>
        <v>20818</v>
      </c>
      <c r="C3" s="1842" t="s">
        <v>1520</v>
      </c>
      <c r="D3" s="1842"/>
      <c r="E3" s="1843"/>
      <c r="F3" s="1844"/>
      <c r="G3" s="1845"/>
      <c r="H3" s="741" t="s">
        <v>1590</v>
      </c>
      <c r="I3" s="1837"/>
      <c r="J3" s="1837"/>
      <c r="K3" s="1838"/>
      <c r="L3" s="1837"/>
      <c r="M3" s="1837"/>
    </row>
    <row r="4" spans="1:37" ht="18" customHeight="1">
      <c r="A4" s="338" t="s">
        <v>1397</v>
      </c>
      <c r="B4" s="339" t="s">
        <v>1398</v>
      </c>
      <c r="C4" s="339" t="s">
        <v>1399</v>
      </c>
      <c r="D4" s="339" t="s">
        <v>1400</v>
      </c>
      <c r="E4" s="340" t="s">
        <v>1401</v>
      </c>
      <c r="F4" s="341"/>
      <c r="G4" s="1848"/>
      <c r="H4" s="338" t="s">
        <v>1397</v>
      </c>
      <c r="I4" s="339" t="s">
        <v>1398</v>
      </c>
      <c r="J4" s="339" t="s">
        <v>1399</v>
      </c>
      <c r="K4" s="339" t="s">
        <v>1400</v>
      </c>
      <c r="L4" s="340" t="s">
        <v>1401</v>
      </c>
      <c r="M4" s="341"/>
    </row>
    <row r="5" spans="1:37" ht="18" customHeight="1">
      <c r="A5" s="342">
        <v>1</v>
      </c>
      <c r="B5" s="343" t="s">
        <v>1402</v>
      </c>
      <c r="C5" s="1290">
        <f ca="1">C6+C10+C12</f>
        <v>563</v>
      </c>
      <c r="D5" s="1819" t="s">
        <v>1403</v>
      </c>
      <c r="E5" s="1291"/>
      <c r="F5" s="1292"/>
      <c r="G5" s="1848"/>
      <c r="H5" s="342">
        <v>1</v>
      </c>
      <c r="I5" s="343" t="s">
        <v>1402</v>
      </c>
      <c r="J5" s="1290">
        <f ca="1">J6+J10+J12</f>
        <v>0</v>
      </c>
      <c r="K5" s="1819" t="s">
        <v>1403</v>
      </c>
      <c r="L5" s="1291"/>
      <c r="M5" s="1292"/>
    </row>
    <row r="6" spans="1:37" ht="18" customHeight="1">
      <c r="A6" s="1289" t="s">
        <v>1035</v>
      </c>
      <c r="B6" s="3226" t="s">
        <v>1404</v>
      </c>
      <c r="C6" s="1294">
        <f ca="1">ROUND(F6*F8*F7*(1-F9)/10000,0)</f>
        <v>562</v>
      </c>
      <c r="D6" s="162" t="s">
        <v>3039</v>
      </c>
      <c r="E6" s="345" t="s">
        <v>1406</v>
      </c>
      <c r="F6" s="346">
        <f ca="1">INDIRECT("'数据-取费表'!u"&amp;$G$1)</f>
        <v>3.5</v>
      </c>
      <c r="G6" s="1848"/>
      <c r="H6" s="1289" t="s">
        <v>1035</v>
      </c>
      <c r="I6" s="3226" t="s">
        <v>1404</v>
      </c>
      <c r="J6" s="344">
        <f ca="1">ROUND(M6*M8*M7*(1-M9)/10000,0)</f>
        <v>0</v>
      </c>
      <c r="K6" s="162" t="s">
        <v>3038</v>
      </c>
      <c r="L6" s="345" t="s">
        <v>1406</v>
      </c>
      <c r="M6" s="346">
        <f ca="1">INDIRECT("'数据-取费表'!z"&amp;$G$1)</f>
        <v>0</v>
      </c>
    </row>
    <row r="7" spans="1:37" ht="18" customHeight="1">
      <c r="A7" s="1293"/>
      <c r="B7" s="3227"/>
      <c r="C7" s="1295"/>
      <c r="D7" s="350"/>
      <c r="E7" s="2956" t="s">
        <v>1407</v>
      </c>
      <c r="F7" s="346">
        <f ca="1">IF(INDIRECT("'数据-取费表'!ah"&amp;$G$1)="",INDIRECT("'数据-取费表'!k"&amp;$G$1),INDIRECT("'数据-取费表'!ah"&amp;$G$1))</f>
        <v>5178.66</v>
      </c>
      <c r="G7" s="1848"/>
      <c r="H7" s="347"/>
      <c r="I7" s="3227"/>
      <c r="J7" s="349"/>
      <c r="K7" s="350"/>
      <c r="L7" s="345" t="s">
        <v>1407</v>
      </c>
      <c r="M7" s="346">
        <f ca="1">F7</f>
        <v>5178.66</v>
      </c>
    </row>
    <row r="8" spans="1:37" ht="18" customHeight="1">
      <c r="A8" s="347"/>
      <c r="B8" s="3227"/>
      <c r="C8" s="349"/>
      <c r="D8" s="350"/>
      <c r="E8" s="345" t="s">
        <v>1408</v>
      </c>
      <c r="F8" s="346">
        <f ca="1">INDIRECT("'数据-取费表'!ai"&amp;$G$1)</f>
        <v>365</v>
      </c>
      <c r="G8" s="1848"/>
      <c r="H8" s="347"/>
      <c r="I8" s="3227"/>
      <c r="J8" s="349"/>
      <c r="K8" s="350"/>
      <c r="L8" s="345" t="s">
        <v>1408</v>
      </c>
      <c r="M8" s="346">
        <f ca="1">INDIRECT("'数据-取费表'!ai"&amp;$G$1)</f>
        <v>365</v>
      </c>
    </row>
    <row r="9" spans="1:37" ht="18" customHeight="1">
      <c r="A9" s="347"/>
      <c r="B9" s="3228"/>
      <c r="C9" s="349"/>
      <c r="D9" s="350"/>
      <c r="E9" s="345" t="s">
        <v>1409</v>
      </c>
      <c r="F9" s="355">
        <f ca="1">INDIRECT("'数据-取费表'!w"&amp;$G$1)</f>
        <v>0.15</v>
      </c>
      <c r="G9" s="1848"/>
      <c r="H9" s="347"/>
      <c r="I9" s="3228"/>
      <c r="J9" s="349"/>
      <c r="K9" s="350"/>
      <c r="L9" s="356" t="s">
        <v>1409</v>
      </c>
      <c r="M9" s="357">
        <f ca="1">INDIRECT("'数据-取费表'!ab"&amp;$G$1)</f>
        <v>0</v>
      </c>
    </row>
    <row r="10" spans="1:37" ht="18" customHeight="1">
      <c r="A10" s="1289" t="s">
        <v>1039</v>
      </c>
      <c r="B10" s="1820" t="s">
        <v>1410</v>
      </c>
      <c r="C10" s="359">
        <f ca="1">ROUND(IF(F10="押一",F6*F8*F7/12*F11,IF(F10="押二",F6*F8*F7/12*2*F11,IF(F10="押三",F6*F8*F7/12*3*F11,C11*F11)))/10000,0)</f>
        <v>1</v>
      </c>
      <c r="D10" s="1821" t="s">
        <v>3035</v>
      </c>
      <c r="E10" s="356" t="s">
        <v>1412</v>
      </c>
      <c r="F10" s="2975" t="s">
        <v>3191</v>
      </c>
      <c r="G10" s="1848"/>
      <c r="H10" s="1289" t="s">
        <v>1039</v>
      </c>
      <c r="I10" s="1820" t="s">
        <v>1410</v>
      </c>
      <c r="J10" s="344">
        <f ca="1">ROUND(IF(M10="押一",M6*M8*M7/12*M11,IF(M10="押二",M6*M8*M7/12*2*M11,IF(M10="押三",M6*M8*M7/12*3*M11,J11*M11)))/10000,0)</f>
        <v>0</v>
      </c>
      <c r="K10" s="1821" t="s">
        <v>3035</v>
      </c>
      <c r="L10" s="356" t="s">
        <v>1412</v>
      </c>
      <c r="M10" s="1364" t="s">
        <v>1413</v>
      </c>
    </row>
    <row r="11" spans="1:37" ht="18" customHeight="1">
      <c r="A11" s="351"/>
      <c r="B11" s="1822" t="s">
        <v>1389</v>
      </c>
      <c r="C11" s="1176"/>
      <c r="D11" s="1823"/>
      <c r="E11" s="356" t="s">
        <v>1414</v>
      </c>
      <c r="F11" s="357">
        <f ca="1">'数据-取费表'!B39</f>
        <v>1.4999999999999999E-2</v>
      </c>
      <c r="G11" s="1848"/>
      <c r="H11" s="1297"/>
      <c r="I11" s="1822" t="s">
        <v>1389</v>
      </c>
      <c r="J11" s="1176"/>
      <c r="K11" s="745"/>
      <c r="L11" s="356" t="s">
        <v>1414</v>
      </c>
      <c r="M11" s="1054">
        <f ca="1">'数据-取费表'!B39</f>
        <v>1.4999999999999999E-2</v>
      </c>
    </row>
    <row r="12" spans="1:37" ht="18" customHeight="1" thickBot="1">
      <c r="A12" s="1331" t="s">
        <v>1075</v>
      </c>
      <c r="B12" s="1824" t="s">
        <v>1415</v>
      </c>
      <c r="C12" s="1332"/>
      <c r="D12" s="1333"/>
      <c r="E12" s="1338"/>
      <c r="F12" s="1334"/>
      <c r="G12" s="1848"/>
      <c r="H12" s="1331" t="s">
        <v>1075</v>
      </c>
      <c r="I12" s="1824" t="s">
        <v>1415</v>
      </c>
      <c r="J12" s="1332"/>
      <c r="K12" s="1346"/>
      <c r="L12" s="1338"/>
      <c r="M12" s="1347"/>
    </row>
    <row r="13" spans="1:37" ht="18" customHeight="1" thickTop="1">
      <c r="A13" s="1327">
        <v>2</v>
      </c>
      <c r="B13" s="1328" t="s">
        <v>1416</v>
      </c>
      <c r="C13" s="353">
        <f ca="1">ROUND(C29*F13,0)</f>
        <v>1888</v>
      </c>
      <c r="D13" s="1329" t="s">
        <v>1417</v>
      </c>
      <c r="E13" s="1329" t="s">
        <v>1418</v>
      </c>
      <c r="F13" s="1330">
        <f ca="1">INDIRECT("'数据-取费表'!y"&amp;$G$1)</f>
        <v>1</v>
      </c>
      <c r="G13" s="1848"/>
      <c r="H13" s="1327">
        <v>2</v>
      </c>
      <c r="I13" s="1328" t="s">
        <v>1416</v>
      </c>
      <c r="J13" s="1288">
        <f ca="1">ROUND(J14*J15,0)</f>
        <v>0</v>
      </c>
      <c r="K13" s="1335" t="s">
        <v>1417</v>
      </c>
      <c r="L13" s="1849"/>
      <c r="M13" s="1850"/>
    </row>
    <row r="14" spans="1:37" ht="18" customHeight="1">
      <c r="A14" s="1199" t="s">
        <v>1034</v>
      </c>
      <c r="B14" s="345" t="s">
        <v>1419</v>
      </c>
      <c r="C14" s="361">
        <f ca="1">INDIRECT("'数据-取费表'!m"&amp;$G$1)+INDIRECT("'数据-取费表'!t"&amp;$G$1)</f>
        <v>1249</v>
      </c>
      <c r="D14" s="2950" t="s">
        <v>1420</v>
      </c>
      <c r="E14" s="2948"/>
      <c r="F14" s="362"/>
      <c r="G14" s="1848"/>
      <c r="H14" s="1199" t="s">
        <v>1035</v>
      </c>
      <c r="I14" s="345" t="s">
        <v>1421</v>
      </c>
      <c r="J14" s="24">
        <f ca="1">C29</f>
        <v>1888</v>
      </c>
      <c r="K14" s="2955"/>
      <c r="L14" s="977"/>
      <c r="M14" s="978"/>
    </row>
    <row r="15" spans="1:37" s="1855" customFormat="1" ht="18" customHeight="1" thickBot="1">
      <c r="A15" s="1199" t="s">
        <v>1036</v>
      </c>
      <c r="B15" s="345" t="s">
        <v>1422</v>
      </c>
      <c r="C15" s="24">
        <f ca="1">ROUND(C14*F15,0)</f>
        <v>37</v>
      </c>
      <c r="D15" s="363" t="s">
        <v>1423</v>
      </c>
      <c r="E15" s="363" t="s">
        <v>1424</v>
      </c>
      <c r="F15" s="364">
        <f>'数据-取费表'!B33</f>
        <v>0.03</v>
      </c>
      <c r="G15" s="1851"/>
      <c r="H15" s="1337" t="s">
        <v>1039</v>
      </c>
      <c r="I15" s="1338" t="s">
        <v>1418</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1390</v>
      </c>
      <c r="B16" s="345" t="s">
        <v>1425</v>
      </c>
      <c r="C16" s="24">
        <f ca="1">ROUND(INDIRECT("'数据-取费表'!m"&amp;$G$1)*F16,0)</f>
        <v>0</v>
      </c>
      <c r="D16" s="345" t="s">
        <v>1423</v>
      </c>
      <c r="E16" s="345" t="s">
        <v>1424</v>
      </c>
      <c r="F16" s="365">
        <f ca="1">IF(INDIRECT("'数据-取费表'!c"&amp;$G$1)="住宅",'数据-取费表'!B34,0)</f>
        <v>0</v>
      </c>
      <c r="G16" s="1848"/>
      <c r="H16" s="1327" t="s">
        <v>1030</v>
      </c>
      <c r="I16" s="1328" t="s">
        <v>1426</v>
      </c>
      <c r="J16" s="353">
        <f ca="1">ROUND(J17+J22+J23+J24,0)</f>
        <v>56</v>
      </c>
      <c r="K16" s="1335" t="s">
        <v>1427</v>
      </c>
      <c r="L16" s="2951"/>
      <c r="M16" s="1292"/>
    </row>
    <row r="17" spans="1:37" s="1855" customFormat="1" ht="18" customHeight="1">
      <c r="A17" s="1199" t="s">
        <v>1391</v>
      </c>
      <c r="B17" s="345" t="s">
        <v>1428</v>
      </c>
      <c r="C17" s="24">
        <f ca="1">ROUND(F17*(F43+INDIRECT("'数据-取费表'!S"&amp;$G$1))/10000,0)</f>
        <v>104</v>
      </c>
      <c r="D17" s="345" t="s">
        <v>1429</v>
      </c>
      <c r="E17" s="345" t="s">
        <v>1430</v>
      </c>
      <c r="F17" s="26">
        <f>'数据-取费表'!B35</f>
        <v>200</v>
      </c>
      <c r="G17" s="1851"/>
      <c r="H17" s="1199" t="s">
        <v>1035</v>
      </c>
      <c r="I17" s="345" t="s">
        <v>1431</v>
      </c>
      <c r="J17" s="24">
        <f ca="1">ROUND(IF(项目基本情况!B11="自然人",J5*M17,J18+J19+J20),1)</f>
        <v>18.5</v>
      </c>
      <c r="K17" s="2950" t="s">
        <v>1432</v>
      </c>
      <c r="L17" s="2949" t="s">
        <v>1433</v>
      </c>
      <c r="M17" s="366"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1392</v>
      </c>
      <c r="B18" s="345" t="s">
        <v>1434</v>
      </c>
      <c r="C18" s="24">
        <f ca="1">ROUND(C14*F18,0)</f>
        <v>19</v>
      </c>
      <c r="D18" s="345" t="s">
        <v>1423</v>
      </c>
      <c r="E18" s="345" t="s">
        <v>1424</v>
      </c>
      <c r="F18" s="365">
        <f>'数据-取费表'!B36</f>
        <v>1.4999999999999999E-2</v>
      </c>
      <c r="G18" s="1851"/>
      <c r="H18" s="1199" t="s">
        <v>1034</v>
      </c>
      <c r="I18" s="345" t="s">
        <v>1435</v>
      </c>
      <c r="J18" s="24">
        <f ca="1">ROUND(J5*M18/(1+'数据-取费表'!C42),2)</f>
        <v>0</v>
      </c>
      <c r="K18" s="2949" t="s">
        <v>1436</v>
      </c>
      <c r="L18" s="345" t="s">
        <v>1424</v>
      </c>
      <c r="M18" s="365">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5" t="s">
        <v>1437</v>
      </c>
      <c r="C19" s="24">
        <f ca="1">SUM(C14:C18)</f>
        <v>1409</v>
      </c>
      <c r="D19" s="137" t="s">
        <v>1438</v>
      </c>
      <c r="E19" s="2954"/>
      <c r="F19" s="26"/>
      <c r="G19" s="1848"/>
      <c r="H19" s="1199" t="s">
        <v>1036</v>
      </c>
      <c r="I19" s="345" t="s">
        <v>1439</v>
      </c>
      <c r="J19" s="24">
        <f ca="1">IF(K19="按租金收入计税",ROUND(J5*M19,2),ROUND(C29*M19*0.7,2))</f>
        <v>15.86</v>
      </c>
      <c r="K19" s="1825" t="s">
        <v>1440</v>
      </c>
      <c r="L19" s="345" t="s">
        <v>1424</v>
      </c>
      <c r="M19" s="365">
        <f>IF(K19="按租金收入计税",'数据-取费表'!B51,'数据-取费表'!B50)</f>
        <v>1.2E-2</v>
      </c>
    </row>
    <row r="20" spans="1:37" s="1855" customFormat="1" ht="18" customHeight="1">
      <c r="A20" s="1199" t="s">
        <v>1039</v>
      </c>
      <c r="B20" s="345" t="s">
        <v>1441</v>
      </c>
      <c r="C20" s="24">
        <f ca="1">ROUND(C19*F20,0)</f>
        <v>21</v>
      </c>
      <c r="D20" s="367" t="s">
        <v>1442</v>
      </c>
      <c r="E20" s="345" t="s">
        <v>1424</v>
      </c>
      <c r="F20" s="365">
        <f>'数据-取费表'!B37</f>
        <v>1.4999999999999999E-2</v>
      </c>
      <c r="G20" s="1851"/>
      <c r="H20" s="1199" t="s">
        <v>1390</v>
      </c>
      <c r="I20" s="162" t="s">
        <v>1443</v>
      </c>
      <c r="J20" s="25">
        <f ca="1">ROUND(M20*M21/10000,2)</f>
        <v>2.62</v>
      </c>
      <c r="K20" s="368" t="s">
        <v>1444</v>
      </c>
      <c r="L20" s="345" t="s">
        <v>1445</v>
      </c>
      <c r="M20" s="369">
        <f>'数据-取费表'!B52</f>
        <v>16</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5" t="s">
        <v>1446</v>
      </c>
      <c r="C21" s="24" t="s">
        <v>18</v>
      </c>
      <c r="D21" s="367" t="s">
        <v>1447</v>
      </c>
      <c r="E21" s="345" t="s">
        <v>1448</v>
      </c>
      <c r="F21" s="365">
        <f>'数据-取费表'!B38</f>
        <v>2.5000000000000001E-2</v>
      </c>
      <c r="G21" s="1851"/>
      <c r="H21" s="370"/>
      <c r="I21" s="354"/>
      <c r="J21" s="29"/>
      <c r="K21" s="371"/>
      <c r="L21" s="345" t="s">
        <v>1449</v>
      </c>
      <c r="M21" s="346">
        <f ca="1">INDIRECT("'数据-取费表'!r"&amp;$G$1)</f>
        <v>1639.4599999999998</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1393</v>
      </c>
      <c r="B22" s="345" t="s">
        <v>1450</v>
      </c>
      <c r="C22" s="24"/>
      <c r="D22" s="137" t="str">
        <f>IF(F23&lt;=1,"单利计息。","复利计息。")&amp;"建造成本、管理费用、销售费用产生的利息。"</f>
        <v>复利计息。建造成本、管理费用、销售费用产生的利息。</v>
      </c>
      <c r="E22" s="2954"/>
      <c r="F22" s="26"/>
      <c r="G22" s="1848"/>
      <c r="H22" s="1199" t="s">
        <v>1039</v>
      </c>
      <c r="I22" s="345" t="s">
        <v>1451</v>
      </c>
      <c r="J22" s="24">
        <f ca="1">ROUND(J14*M22,1)</f>
        <v>37.799999999999997</v>
      </c>
      <c r="K22" s="2949" t="s">
        <v>1452</v>
      </c>
      <c r="L22" s="345" t="s">
        <v>1424</v>
      </c>
      <c r="M22" s="372">
        <f ca="1">INDIRECT("'数据-取费表'!Ak"&amp;$G$1)</f>
        <v>0.02</v>
      </c>
    </row>
    <row r="23" spans="1:37" s="1855" customFormat="1" ht="18" customHeight="1">
      <c r="A23" s="1199" t="s">
        <v>1034</v>
      </c>
      <c r="B23" s="345" t="s">
        <v>1453</v>
      </c>
      <c r="C23" s="24">
        <f ca="1">IF('数据-取费表'!B22&lt;=1,ROUND(C19*F24*F23/2,0)+ROUND(C20*F24*F23/2,0),ROUND(C19*(POWER((1+F24),F23/2)-1),0)+ROUND(C20*(POWER((1+F24),F23/2)-1),0))</f>
        <v>85</v>
      </c>
      <c r="D23" s="373" t="str">
        <f>IF(F23&lt;=1,"(建造成本+管理费用)×利率×(建设周期÷2)","(建造成本+管理费用)×((1+利率)^(建设周期÷2)-1)")</f>
        <v>(建造成本+管理费用)×((1+利率)^(建设周期÷2)-1)</v>
      </c>
      <c r="E23" s="345" t="s">
        <v>1454</v>
      </c>
      <c r="F23" s="369">
        <f>'数据-取费表'!B20</f>
        <v>2.5</v>
      </c>
      <c r="G23" s="1851"/>
      <c r="H23" s="1199" t="s">
        <v>1075</v>
      </c>
      <c r="I23" s="345" t="s">
        <v>1455</v>
      </c>
      <c r="J23" s="24">
        <f ca="1">ROUND(J13*M23,1)</f>
        <v>0</v>
      </c>
      <c r="K23" s="2949" t="s">
        <v>1456</v>
      </c>
      <c r="L23" s="345" t="s">
        <v>1424</v>
      </c>
      <c r="M23" s="374">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1036</v>
      </c>
      <c r="B24" s="345" t="s">
        <v>1459</v>
      </c>
      <c r="C24" s="24">
        <f ca="1">ROUND(IF('数据-取费表'!B22&lt;=1,F21*F24*F23/2,F21*(POWER((1+F24),F23/2)-1)),4)</f>
        <v>1.5E-3</v>
      </c>
      <c r="D24" s="373" t="str">
        <f>IF(F23&lt;=1,"销售费用×利率×(建设周期÷2)","销售费用×((1+利率)^(建设周期÷2)-1)")</f>
        <v>销售费用×((1+利率)^(建设周期÷2)-1)</v>
      </c>
      <c r="E24" s="345" t="s">
        <v>1460</v>
      </c>
      <c r="F24" s="375">
        <f ca="1">'数据-取费表'!B40</f>
        <v>4.7500000000000001E-2</v>
      </c>
      <c r="G24" s="1851"/>
      <c r="H24" s="1337" t="s">
        <v>1393</v>
      </c>
      <c r="I24" s="1338" t="s">
        <v>1441</v>
      </c>
      <c r="J24" s="1339">
        <f ca="1">ROUND(J5*M24,1)</f>
        <v>0</v>
      </c>
      <c r="K24" s="1340" t="s">
        <v>1461</v>
      </c>
      <c r="L24" s="1338" t="s">
        <v>1424</v>
      </c>
      <c r="M24" s="1334">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1462</v>
      </c>
      <c r="B25" s="345" t="s">
        <v>1463</v>
      </c>
      <c r="C25" s="24"/>
      <c r="D25" s="137" t="s">
        <v>1464</v>
      </c>
      <c r="E25" s="2954"/>
      <c r="F25" s="26"/>
      <c r="G25" s="1848"/>
      <c r="H25" s="1327" t="s">
        <v>1031</v>
      </c>
      <c r="I25" s="1342" t="s">
        <v>1465</v>
      </c>
      <c r="J25" s="353">
        <f ca="1">J5-J16</f>
        <v>-56</v>
      </c>
      <c r="K25" s="1343" t="s">
        <v>1466</v>
      </c>
      <c r="L25" s="1344"/>
      <c r="M25" s="1345"/>
    </row>
    <row r="26" spans="1:37">
      <c r="A26" s="1199" t="s">
        <v>1034</v>
      </c>
      <c r="B26" s="345" t="s">
        <v>1467</v>
      </c>
      <c r="C26" s="24">
        <f ca="1">ROUND((C19+C20)*F26,0)</f>
        <v>215</v>
      </c>
      <c r="D26" s="367" t="s">
        <v>1468</v>
      </c>
      <c r="E26" s="356" t="s">
        <v>1469</v>
      </c>
      <c r="F26" s="355">
        <f ca="1">INDIRECT("'数据-取费表'!q"&amp;$G$1)</f>
        <v>0.15</v>
      </c>
      <c r="G26" s="1848"/>
      <c r="H26" s="342" t="s">
        <v>1032</v>
      </c>
      <c r="I26" s="343" t="s">
        <v>1470</v>
      </c>
      <c r="J26" s="344">
        <f ca="1">IF(J5&lt;&gt;0,ROUND(J25*(1-((1+M28)/(1+M26))^M27)/(M26-M28),0),0)</f>
        <v>0</v>
      </c>
      <c r="K26" s="368" t="s">
        <v>1471</v>
      </c>
      <c r="L26" s="345" t="s">
        <v>1472</v>
      </c>
      <c r="M26" s="355">
        <f ca="1">INDIRECT("'数据-取费表'!I"&amp;$G$1)</f>
        <v>5.5E-2</v>
      </c>
    </row>
    <row r="27" spans="1:37" ht="18" customHeight="1">
      <c r="A27" s="1199" t="s">
        <v>1036</v>
      </c>
      <c r="B27" s="345" t="s">
        <v>1473</v>
      </c>
      <c r="C27" s="24">
        <f ca="1">ROUND(F21*F26,4)</f>
        <v>3.8E-3</v>
      </c>
      <c r="D27" s="367" t="s">
        <v>1474</v>
      </c>
      <c r="E27" s="363"/>
      <c r="F27" s="364"/>
      <c r="G27" s="1848"/>
      <c r="H27" s="347"/>
      <c r="I27" s="348"/>
      <c r="J27" s="349"/>
      <c r="K27" s="376" t="s">
        <v>1475</v>
      </c>
      <c r="L27" s="345" t="s">
        <v>1476</v>
      </c>
      <c r="M27" s="377">
        <f ca="1">INDIRECT("'数据-取费表'!ag"&amp;$G$1)</f>
        <v>0</v>
      </c>
    </row>
    <row r="28" spans="1:37" s="1855" customFormat="1" ht="18" customHeight="1">
      <c r="A28" s="1199" t="s">
        <v>1037</v>
      </c>
      <c r="B28" s="345" t="s">
        <v>1477</v>
      </c>
      <c r="C28" s="24">
        <f>ROUND(F28/(1+'数据-取费表'!C42),4)</f>
        <v>5.33E-2</v>
      </c>
      <c r="D28" s="367" t="s">
        <v>1478</v>
      </c>
      <c r="E28" s="345" t="s">
        <v>1424</v>
      </c>
      <c r="F28" s="365">
        <f>'数据-取费表'!B41</f>
        <v>5.6000000000000001E-2</v>
      </c>
      <c r="G28" s="1851"/>
      <c r="H28" s="351"/>
      <c r="I28" s="352"/>
      <c r="J28" s="353"/>
      <c r="K28" s="371"/>
      <c r="L28" s="345" t="s">
        <v>1479</v>
      </c>
      <c r="M28" s="355">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1480</v>
      </c>
      <c r="C29" s="1339">
        <f ca="1">ROUND((C19+C20+C23+C26)/(1-F21-C24-C27-C28),0)</f>
        <v>1888</v>
      </c>
      <c r="D29" s="1340"/>
      <c r="E29" s="1338"/>
      <c r="F29" s="1341"/>
      <c r="G29" s="1851"/>
      <c r="H29" s="378" t="s">
        <v>1033</v>
      </c>
      <c r="I29" s="379" t="s">
        <v>1481</v>
      </c>
      <c r="J29" s="380">
        <f ca="1">ROUND(J26/(1+F40)^F41,0)</f>
        <v>0</v>
      </c>
      <c r="K29" s="381" t="s">
        <v>1482</v>
      </c>
      <c r="L29" s="382"/>
      <c r="M29" s="383">
        <f ca="1">INDIRECT("'数据-取费表'!k"&amp;$G$1)</f>
        <v>5178.66</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1426</v>
      </c>
      <c r="C30" s="353">
        <f ca="1">ROUND(C31+C36+C37+C38,0)</f>
        <v>101</v>
      </c>
      <c r="D30" s="1335" t="s">
        <v>1427</v>
      </c>
      <c r="E30" s="2951"/>
      <c r="F30" s="1292"/>
      <c r="G30" s="1848"/>
      <c r="H30" s="742"/>
      <c r="I30" s="743"/>
      <c r="J30" s="744"/>
      <c r="K30" s="745"/>
      <c r="L30" s="746"/>
      <c r="M30" s="747"/>
    </row>
    <row r="31" spans="1:37" ht="18" customHeight="1">
      <c r="A31" s="1199" t="s">
        <v>1035</v>
      </c>
      <c r="B31" s="345" t="s">
        <v>1431</v>
      </c>
      <c r="C31" s="24">
        <f ca="1">ROUND(IF(项目基本情况!B11="自然人",C5*F31,C32+C33+C34),1)</f>
        <v>48.5</v>
      </c>
      <c r="D31" s="2950" t="s">
        <v>1432</v>
      </c>
      <c r="E31" s="2949" t="s">
        <v>1483</v>
      </c>
      <c r="F31" s="366" t="str">
        <f ca="1">IF(项目基本情况!B11="企业","",IF(INDIRECT("'数据-取费表'!c"&amp;$G$1)="住宅",5%,IF(F6*F7*F8/12/(1+'数据-取费表'!C42)&gt;20000,12%,7%)))</f>
        <v/>
      </c>
      <c r="G31" s="1848"/>
      <c r="H31" s="742"/>
      <c r="I31" s="743"/>
      <c r="J31" s="744"/>
      <c r="K31" s="745"/>
      <c r="L31" s="746"/>
      <c r="M31" s="747"/>
    </row>
    <row r="32" spans="1:37" ht="18" customHeight="1">
      <c r="A32" s="1199" t="s">
        <v>1034</v>
      </c>
      <c r="B32" s="345" t="s">
        <v>1435</v>
      </c>
      <c r="C32" s="24">
        <f ca="1">IF(项目基本情况!B11="自然人","——",ROUND(C5*F32/(1+'数据-取费表'!C42),2))</f>
        <v>30.03</v>
      </c>
      <c r="D32" s="2949" t="s">
        <v>1436</v>
      </c>
      <c r="E32" s="345" t="s">
        <v>1424</v>
      </c>
      <c r="F32" s="375">
        <f>'数据-取费表'!B41</f>
        <v>5.6000000000000001E-2</v>
      </c>
      <c r="G32" s="1848"/>
      <c r="H32" s="742"/>
      <c r="I32" s="743"/>
      <c r="J32" s="744"/>
      <c r="K32" s="745"/>
      <c r="L32" s="746"/>
      <c r="M32" s="747"/>
    </row>
    <row r="33" spans="1:18" ht="18" customHeight="1">
      <c r="A33" s="1199" t="s">
        <v>1036</v>
      </c>
      <c r="B33" s="345" t="s">
        <v>1439</v>
      </c>
      <c r="C33" s="24">
        <f ca="1">IF(项目基本情况!B11="自然人","——",IF(D33="按租金收入计税",ROUND(C5*F33,2),IF(D33="按房产原值计税",ROUND(C29*F33*0.7,2),INDIRECT("'数据-取费表'!Aj"&amp;$G$1))))</f>
        <v>15.86</v>
      </c>
      <c r="D33" s="1825" t="s">
        <v>1440</v>
      </c>
      <c r="E33" s="345" t="s">
        <v>1424</v>
      </c>
      <c r="F33" s="365">
        <f>IF(D33="按票据","——",IF(D33="按租金收入计税",'数据-取费表'!B51,'数据-取费表'!B50))</f>
        <v>1.2E-2</v>
      </c>
      <c r="G33" s="1848"/>
      <c r="H33" s="1856"/>
      <c r="I33" s="1857"/>
      <c r="J33" s="1858"/>
      <c r="K33" s="1859"/>
      <c r="L33" s="1856"/>
      <c r="M33" s="1856"/>
    </row>
    <row r="34" spans="1:18" ht="18" customHeight="1">
      <c r="A34" s="1289" t="s">
        <v>1390</v>
      </c>
      <c r="B34" s="162" t="s">
        <v>1443</v>
      </c>
      <c r="C34" s="25">
        <f ca="1">IF(项目基本情况!B11="自然人","——",ROUND(F34*F35/10000,2))</f>
        <v>2.62</v>
      </c>
      <c r="D34" s="368" t="s">
        <v>1444</v>
      </c>
      <c r="E34" s="345" t="s">
        <v>1445</v>
      </c>
      <c r="F34" s="369">
        <f>'数据-取费表'!B52</f>
        <v>16</v>
      </c>
      <c r="G34" s="1848"/>
      <c r="H34" s="742"/>
      <c r="I34" s="1857"/>
      <c r="J34" s="1858"/>
      <c r="K34" s="1860"/>
      <c r="L34" s="1861"/>
      <c r="M34" s="1861"/>
    </row>
    <row r="35" spans="1:18" ht="18" customHeight="1">
      <c r="A35" s="1351"/>
      <c r="B35" s="1349"/>
      <c r="C35" s="29"/>
      <c r="D35" s="371"/>
      <c r="E35" s="345" t="s">
        <v>1449</v>
      </c>
      <c r="F35" s="346">
        <f ca="1">INDIRECT("'数据-取费表'!r"&amp;$G$1)</f>
        <v>1639.4599999999998</v>
      </c>
      <c r="G35" s="1848"/>
      <c r="H35" s="742"/>
      <c r="I35" s="1857"/>
      <c r="J35" s="1858"/>
      <c r="K35" s="1859"/>
      <c r="L35" s="1856"/>
      <c r="M35" s="1856"/>
    </row>
    <row r="36" spans="1:18" ht="18" customHeight="1">
      <c r="A36" s="1350" t="s">
        <v>1039</v>
      </c>
      <c r="B36" s="345" t="s">
        <v>1451</v>
      </c>
      <c r="C36" s="24">
        <f ca="1">ROUND(C29*F36,1)</f>
        <v>37.799999999999997</v>
      </c>
      <c r="D36" s="2949" t="s">
        <v>1484</v>
      </c>
      <c r="E36" s="345" t="s">
        <v>1424</v>
      </c>
      <c r="F36" s="372">
        <f ca="1">INDIRECT("'数据-取费表'!Ak"&amp;$G$1)</f>
        <v>0.02</v>
      </c>
      <c r="G36" s="1848"/>
      <c r="H36" s="1856"/>
      <c r="I36" s="1857"/>
      <c r="J36" s="1858"/>
      <c r="K36" s="748"/>
      <c r="L36" s="1856"/>
      <c r="M36" s="1856"/>
    </row>
    <row r="37" spans="1:18" ht="18" customHeight="1">
      <c r="A37" s="1199" t="s">
        <v>1075</v>
      </c>
      <c r="B37" s="345" t="s">
        <v>1455</v>
      </c>
      <c r="C37" s="24">
        <f ca="1">ROUND(C13*F37,1)</f>
        <v>3.8</v>
      </c>
      <c r="D37" s="2949" t="s">
        <v>1456</v>
      </c>
      <c r="E37" s="345" t="s">
        <v>1424</v>
      </c>
      <c r="F37" s="374">
        <f ca="1">INDIRECT("'数据-取费表'!Al"&amp;$G$1)</f>
        <v>2E-3</v>
      </c>
      <c r="G37" s="1848"/>
      <c r="H37" s="1856"/>
      <c r="I37" s="1857"/>
      <c r="J37" s="1858"/>
      <c r="K37" s="748"/>
      <c r="L37" s="1856"/>
      <c r="M37" s="1856"/>
    </row>
    <row r="38" spans="1:18" ht="18" customHeight="1" thickBot="1">
      <c r="A38" s="1337" t="s">
        <v>1393</v>
      </c>
      <c r="B38" s="1338" t="s">
        <v>1441</v>
      </c>
      <c r="C38" s="1339">
        <f ca="1">ROUND(C5*F38,1)</f>
        <v>11.3</v>
      </c>
      <c r="D38" s="1340" t="s">
        <v>1461</v>
      </c>
      <c r="E38" s="1338" t="s">
        <v>1424</v>
      </c>
      <c r="F38" s="1334">
        <f ca="1">INDIRECT("'数据-取费表'!Am"&amp;$G$1)</f>
        <v>0.02</v>
      </c>
      <c r="G38" s="1848"/>
      <c r="H38" s="1856"/>
      <c r="I38" s="1857"/>
      <c r="J38" s="1858"/>
      <c r="K38" s="1862"/>
      <c r="L38" s="1856"/>
      <c r="M38" s="1856"/>
    </row>
    <row r="39" spans="1:18" ht="24.6" customHeight="1" thickTop="1">
      <c r="A39" s="1327" t="s">
        <v>1031</v>
      </c>
      <c r="B39" s="1342" t="s">
        <v>1465</v>
      </c>
      <c r="C39" s="353">
        <f ca="1">C5-C30</f>
        <v>462</v>
      </c>
      <c r="D39" s="1343" t="s">
        <v>1466</v>
      </c>
      <c r="E39" s="1344"/>
      <c r="F39" s="1345"/>
      <c r="G39" s="1848"/>
      <c r="H39" s="1856"/>
      <c r="I39" s="1857"/>
      <c r="J39" s="1858"/>
      <c r="K39" s="1862"/>
      <c r="L39" s="1856"/>
      <c r="M39" s="1856"/>
    </row>
    <row r="40" spans="1:18" ht="18" customHeight="1">
      <c r="A40" s="342" t="s">
        <v>1032</v>
      </c>
      <c r="B40" s="343" t="s">
        <v>1487</v>
      </c>
      <c r="C40" s="344">
        <f ca="1">ROUND(C39*(1-((1+F42)/(1+F40))^F41)/(F40-F42),0)</f>
        <v>10781</v>
      </c>
      <c r="D40" s="368" t="s">
        <v>1471</v>
      </c>
      <c r="E40" s="345" t="s">
        <v>1472</v>
      </c>
      <c r="F40" s="355">
        <f ca="1">INDIRECT("'数据-取费表'!I"&amp;$G$1)</f>
        <v>5.5E-2</v>
      </c>
      <c r="G40" s="1848"/>
      <c r="H40" s="1836"/>
      <c r="I40" s="1857"/>
      <c r="J40" s="1858"/>
      <c r="K40" s="1862"/>
      <c r="L40" s="1836"/>
      <c r="M40" s="1836"/>
    </row>
    <row r="41" spans="1:18" ht="18" customHeight="1">
      <c r="A41" s="347"/>
      <c r="B41" s="348"/>
      <c r="C41" s="349"/>
      <c r="D41" s="376" t="s">
        <v>1488</v>
      </c>
      <c r="E41" s="345" t="s">
        <v>1476</v>
      </c>
      <c r="F41" s="377">
        <f ca="1">IF(INDIRECT("'数据-取费表'!af"&amp;$G$1)=0,INDIRECT("'数据-取费表'!ae"&amp;$G$1),INDIRECT("'数据-取费表'!af"&amp;$G$1))</f>
        <v>36.510000000000005</v>
      </c>
      <c r="G41" s="1848"/>
      <c r="H41" s="729"/>
      <c r="I41" s="1857"/>
      <c r="J41" s="1858"/>
      <c r="K41" s="748"/>
      <c r="L41" s="729"/>
      <c r="M41" s="729"/>
    </row>
    <row r="42" spans="1:18" ht="18" customHeight="1">
      <c r="A42" s="351"/>
      <c r="B42" s="352"/>
      <c r="C42" s="353"/>
      <c r="D42" s="371"/>
      <c r="E42" s="345" t="s">
        <v>1479</v>
      </c>
      <c r="F42" s="355">
        <f ca="1">INDIRECT("'数据-取费表'!v"&amp;$G$1)</f>
        <v>0.03</v>
      </c>
      <c r="G42" s="1848"/>
      <c r="H42" s="729"/>
      <c r="I42" s="1857"/>
      <c r="J42" s="1858"/>
      <c r="K42" s="748"/>
      <c r="L42" s="729"/>
      <c r="M42" s="729"/>
    </row>
    <row r="43" spans="1:18" ht="18" customHeight="1" thickBot="1">
      <c r="A43" s="378" t="s">
        <v>1033</v>
      </c>
      <c r="B43" s="379" t="s">
        <v>1489</v>
      </c>
      <c r="C43" s="380">
        <f ca="1">ROUND(C40*10000/F43,0)</f>
        <v>20818</v>
      </c>
      <c r="D43" s="381" t="s">
        <v>1490</v>
      </c>
      <c r="E43" s="382" t="s">
        <v>1491</v>
      </c>
      <c r="F43" s="383">
        <f ca="1">INDIRECT("'数据-取费表'!k"&amp;$G$1)</f>
        <v>5178.66</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3"/>
      <c r="O45" s="1866" t="s">
        <v>1521</v>
      </c>
      <c r="P45" s="1836"/>
      <c r="Q45" s="1836"/>
      <c r="R45" s="1836"/>
    </row>
    <row r="46" spans="1:18" s="1839" customFormat="1" ht="13.5" thickBot="1">
      <c r="A46" s="1867" t="s">
        <v>1522</v>
      </c>
      <c r="C46" s="1868">
        <f ca="1">C68-C40</f>
        <v>-11717</v>
      </c>
      <c r="D46" s="1869" t="str">
        <f>C2</f>
        <v>万元</v>
      </c>
      <c r="E46" s="1863"/>
      <c r="F46" s="1863"/>
      <c r="I46" s="1870" t="s">
        <v>1523</v>
      </c>
      <c r="J46" s="1871"/>
      <c r="K46" s="1872"/>
      <c r="L46" s="1873" t="str">
        <f ca="1">IF(M47="住宅",0,IF(L48&gt;J51,L60,J60))</f>
        <v>0</v>
      </c>
      <c r="O46" s="1874" t="s">
        <v>1524</v>
      </c>
      <c r="P46" s="1875" t="s">
        <v>1525</v>
      </c>
      <c r="Q46" s="1876" t="s">
        <v>1526</v>
      </c>
      <c r="R46" s="1876" t="s">
        <v>1527</v>
      </c>
    </row>
    <row r="47" spans="1:18" s="1839" customFormat="1" ht="13.5" thickBot="1">
      <c r="A47" s="1163" t="s">
        <v>1397</v>
      </c>
      <c r="B47" s="1195" t="s">
        <v>1398</v>
      </c>
      <c r="C47" s="1365" t="s">
        <v>1399</v>
      </c>
      <c r="D47" s="1195" t="s">
        <v>1400</v>
      </c>
      <c r="E47" s="1277" t="s">
        <v>1401</v>
      </c>
      <c r="F47" s="1278"/>
      <c r="G47" s="789"/>
      <c r="I47" s="1877" t="s">
        <v>1528</v>
      </c>
      <c r="J47" s="1878" t="s">
        <v>3134</v>
      </c>
      <c r="K47" s="1879" t="s">
        <v>1529</v>
      </c>
      <c r="L47" s="1880">
        <f ca="1">INDIRECT("'数据-取费表'!d"&amp;$G$1)</f>
        <v>40</v>
      </c>
      <c r="M47" s="1835" t="str">
        <f>IF(ISNUMBER(FIND("住宅",C1)),"住宅","非住宅")</f>
        <v>非住宅</v>
      </c>
      <c r="O47" s="1881" t="s">
        <v>1040</v>
      </c>
      <c r="P47" s="1882" t="s">
        <v>1530</v>
      </c>
      <c r="Q47" s="1883">
        <f ca="1">C40+J29</f>
        <v>10781</v>
      </c>
      <c r="R47" s="1883" t="s">
        <v>1531</v>
      </c>
    </row>
    <row r="48" spans="1:18" s="1839" customFormat="1" ht="28.5" thickBot="1">
      <c r="A48" s="1358" t="s">
        <v>1135</v>
      </c>
      <c r="B48" s="343" t="s">
        <v>1402</v>
      </c>
      <c r="C48" s="2953">
        <f ca="1">C49+C53+C55</f>
        <v>0</v>
      </c>
      <c r="D48" s="1360"/>
      <c r="E48" s="1361"/>
      <c r="F48" s="1179"/>
      <c r="G48" s="789"/>
      <c r="H48" s="790"/>
      <c r="I48" s="1884" t="s">
        <v>1532</v>
      </c>
      <c r="J48" s="1885" t="s">
        <v>3135</v>
      </c>
      <c r="K48" s="1886" t="s">
        <v>1533</v>
      </c>
      <c r="L48" s="1887">
        <f ca="1">INDIRECT("'数据-取费表'!f"&amp;$G$1)</f>
        <v>37.81</v>
      </c>
      <c r="O48" s="1881" t="s">
        <v>1041</v>
      </c>
      <c r="P48" s="1882" t="s">
        <v>1534</v>
      </c>
      <c r="Q48" s="1883" t="str">
        <f ca="1">J60</f>
        <v>0</v>
      </c>
      <c r="R48" s="1883" t="s">
        <v>1535</v>
      </c>
    </row>
    <row r="49" spans="1:18" s="1839" customFormat="1" ht="13.5" thickBot="1">
      <c r="A49" s="1192" t="s">
        <v>1136</v>
      </c>
      <c r="B49" s="1826" t="s">
        <v>1492</v>
      </c>
      <c r="C49" s="1362">
        <f ca="1">ROUND(F49*F51*F50*(1-F52)/10000,0)</f>
        <v>0</v>
      </c>
      <c r="D49" s="1274" t="s">
        <v>3038</v>
      </c>
      <c r="E49" s="1827" t="s">
        <v>1493</v>
      </c>
      <c r="F49" s="1279"/>
      <c r="G49" s="1888"/>
      <c r="H49" s="790"/>
      <c r="I49" s="1884" t="s">
        <v>1536</v>
      </c>
      <c r="J49" s="1889">
        <v>2019</v>
      </c>
      <c r="K49" s="1886" t="s">
        <v>1537</v>
      </c>
      <c r="L49" s="1890"/>
      <c r="O49" s="1891" t="s">
        <v>1042</v>
      </c>
      <c r="P49" s="1882" t="s">
        <v>1538</v>
      </c>
      <c r="Q49" s="1883">
        <f ca="1">C29</f>
        <v>1888</v>
      </c>
      <c r="R49" s="1883" t="s">
        <v>1531</v>
      </c>
    </row>
    <row r="50" spans="1:18" s="1839" customFormat="1" ht="13.5" thickBot="1">
      <c r="A50" s="1193"/>
      <c r="B50" s="1196"/>
      <c r="C50" s="1366"/>
      <c r="D50" s="1170"/>
      <c r="E50" s="1275" t="s">
        <v>1407</v>
      </c>
      <c r="F50" s="1276">
        <f ca="1">F7</f>
        <v>5178.66</v>
      </c>
      <c r="H50" s="790"/>
      <c r="I50" s="1884" t="s">
        <v>1539</v>
      </c>
      <c r="J50" s="1892">
        <f>SUMPRODUCT((I63:I65=J47)*(J62:L62=J48)*(J63:L65))</f>
        <v>60</v>
      </c>
      <c r="K50" s="1886" t="s">
        <v>1540</v>
      </c>
      <c r="L50" s="1890"/>
      <c r="M50" s="1893"/>
      <c r="O50" s="1891" t="s">
        <v>1043</v>
      </c>
      <c r="P50" s="1882" t="s">
        <v>1541</v>
      </c>
      <c r="Q50" s="1894" t="e">
        <f ca="1">J58</f>
        <v>#VALUE!</v>
      </c>
      <c r="R50" s="1883"/>
    </row>
    <row r="51" spans="1:18" s="1839" customFormat="1" ht="13.5" thickBot="1">
      <c r="A51" s="1194"/>
      <c r="B51" s="1196"/>
      <c r="C51" s="1197"/>
      <c r="D51" s="1170"/>
      <c r="E51" s="1198" t="s">
        <v>1408</v>
      </c>
      <c r="F51" s="346">
        <f ca="1">F8</f>
        <v>365</v>
      </c>
      <c r="I51" s="1895" t="s">
        <v>1542</v>
      </c>
      <c r="J51" s="1896">
        <f>IF(J49="",J50,J49+J50-YEAR('数据-取费表'!B2))</f>
        <v>62</v>
      </c>
      <c r="K51" s="1897" t="s">
        <v>1543</v>
      </c>
      <c r="L51" s="1898">
        <f ca="1">ROUND(-PV(INDIRECT("'数据-取费表'!h"&amp;$G$1),L48,(C39-C13*C76),0),0)</f>
        <v>5432</v>
      </c>
      <c r="M51" s="1899"/>
      <c r="O51" s="1891" t="s">
        <v>1044</v>
      </c>
      <c r="P51" s="1882" t="s">
        <v>1544</v>
      </c>
      <c r="Q51" s="1894">
        <f>J52</f>
        <v>0.09</v>
      </c>
      <c r="R51" s="1883"/>
    </row>
    <row r="52" spans="1:18" s="1839" customFormat="1" ht="13.5" thickBot="1">
      <c r="A52" s="1194"/>
      <c r="B52" s="1196"/>
      <c r="C52" s="1197"/>
      <c r="D52" s="1170"/>
      <c r="E52" s="1198" t="s">
        <v>1409</v>
      </c>
      <c r="F52" s="1273"/>
      <c r="I52" s="1900" t="s">
        <v>1545</v>
      </c>
      <c r="J52" s="1901">
        <v>0.09</v>
      </c>
      <c r="K52" s="1900" t="s">
        <v>1546</v>
      </c>
      <c r="L52" s="1901"/>
      <c r="O52" s="1891" t="s">
        <v>1045</v>
      </c>
      <c r="P52" s="1882" t="s">
        <v>1547</v>
      </c>
      <c r="Q52" s="1883">
        <f ca="1">J53</f>
        <v>36.510000000000005</v>
      </c>
      <c r="R52" s="1883" t="s">
        <v>1548</v>
      </c>
    </row>
    <row r="53" spans="1:18" s="1839" customFormat="1" ht="24.75" thickBot="1">
      <c r="A53" s="1402" t="s">
        <v>1137</v>
      </c>
      <c r="B53" s="1828" t="s">
        <v>1410</v>
      </c>
      <c r="C53" s="359">
        <f ca="1">ROUND(IF(F53="押一",F49*F51*F50/12*F11,IF(F53="押二",F49*F51*F50/12*2*F11,IF(F53="押三",F49*F51*F50/12*3*F11,C54*F11)))/10000,0)</f>
        <v>0</v>
      </c>
      <c r="D53" s="1821" t="s">
        <v>3035</v>
      </c>
      <c r="E53" s="356" t="s">
        <v>1412</v>
      </c>
      <c r="F53" s="1364"/>
      <c r="I53" s="1902" t="s">
        <v>1549</v>
      </c>
      <c r="J53" s="1903">
        <f ca="1">IF(M47="住宅",J51,IF(D1="——",MIN(J51,L48),IF(D1="在建（套用方法）",MIN(J51,L48-'数据-取费表'!B24),IF(D1="土地（套用方法）",MIN(J51,L48-'数据-取费表'!B20)))))</f>
        <v>36.510000000000005</v>
      </c>
      <c r="K53" s="3229" t="s">
        <v>1550</v>
      </c>
      <c r="L53" s="3230"/>
      <c r="O53" s="1881" t="s">
        <v>1046</v>
      </c>
      <c r="P53" s="1882" t="s">
        <v>1551</v>
      </c>
      <c r="Q53" s="1883">
        <f ca="1">Q47+Q48</f>
        <v>10781</v>
      </c>
      <c r="R53" s="1883" t="s">
        <v>1047</v>
      </c>
    </row>
    <row r="54" spans="1:18" s="1839" customFormat="1" ht="13.5" thickBot="1">
      <c r="A54" s="1403"/>
      <c r="B54" s="1822" t="s">
        <v>1389</v>
      </c>
      <c r="C54" s="1176"/>
      <c r="D54" s="1821"/>
      <c r="E54" s="2952"/>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1552</v>
      </c>
      <c r="P54" s="1836"/>
      <c r="Q54" s="1836"/>
      <c r="R54" s="1836"/>
    </row>
    <row r="55" spans="1:18" s="1839" customFormat="1" ht="13.5" thickBot="1">
      <c r="A55" s="1331" t="s">
        <v>1075</v>
      </c>
      <c r="B55" s="1824" t="s">
        <v>1415</v>
      </c>
      <c r="C55" s="1332"/>
      <c r="D55" s="1821"/>
      <c r="E55" s="2952"/>
      <c r="F55" s="1904"/>
      <c r="I55" s="1907" t="s">
        <v>1553</v>
      </c>
      <c r="J55" s="1908" t="e">
        <f ca="1">ROUND(IF(J47="钢混",J57/J50,1-(1-2%)*(J50-J57)/J50),3)</f>
        <v>#VALUE!</v>
      </c>
      <c r="K55" s="1909" t="s">
        <v>1554</v>
      </c>
      <c r="L55" s="1910" t="s">
        <v>1555</v>
      </c>
      <c r="O55" s="1874" t="s">
        <v>1524</v>
      </c>
      <c r="P55" s="1875" t="s">
        <v>1525</v>
      </c>
      <c r="Q55" s="1876" t="s">
        <v>1526</v>
      </c>
      <c r="R55" s="1876" t="s">
        <v>1527</v>
      </c>
    </row>
    <row r="56" spans="1:18" s="1839" customFormat="1" ht="25.5" thickTop="1" thickBot="1">
      <c r="A56" s="1174">
        <v>2</v>
      </c>
      <c r="B56" s="1175" t="s">
        <v>1416</v>
      </c>
      <c r="C56" s="274">
        <f ca="1">C13</f>
        <v>1888</v>
      </c>
      <c r="D56" s="1911"/>
      <c r="E56" s="1912"/>
      <c r="F56" s="1904"/>
      <c r="I56" s="1913" t="s">
        <v>1556</v>
      </c>
      <c r="J56" s="1914" t="s">
        <v>3082</v>
      </c>
      <c r="K56" s="1884" t="s">
        <v>1557</v>
      </c>
      <c r="L56" s="1887" t="str">
        <f ca="1">IF(L48&lt;J51,"——",L48-J53)</f>
        <v>——</v>
      </c>
      <c r="O56" s="1881" t="s">
        <v>1040</v>
      </c>
      <c r="P56" s="1882" t="s">
        <v>1530</v>
      </c>
      <c r="Q56" s="1883">
        <f ca="1">C40+J29</f>
        <v>10781</v>
      </c>
      <c r="R56" s="1883" t="s">
        <v>1531</v>
      </c>
    </row>
    <row r="57" spans="1:18" s="1839" customFormat="1" ht="24.75" thickBot="1">
      <c r="A57" s="1915"/>
      <c r="B57" s="1167" t="s">
        <v>1480</v>
      </c>
      <c r="C57" s="280">
        <f ca="1">C29</f>
        <v>1888</v>
      </c>
      <c r="D57" s="1916"/>
      <c r="E57" s="1917"/>
      <c r="F57" s="1918"/>
      <c r="I57" s="1919" t="s">
        <v>1558</v>
      </c>
      <c r="J57" s="1920" t="str">
        <f ca="1">IF(OR(M47="住宅",J51&lt;L48,J56="是"),"——",J51-L48)</f>
        <v>——</v>
      </c>
      <c r="K57" s="1884" t="s">
        <v>1559</v>
      </c>
      <c r="L57" s="1887" t="str">
        <f ca="1">IF(L48&lt;J51,"——",IF(L55="比较法",L49,IF(L55="基准地价",L50,L51)))</f>
        <v>——</v>
      </c>
      <c r="O57" s="1881" t="s">
        <v>1041</v>
      </c>
      <c r="P57" s="1882" t="s">
        <v>1560</v>
      </c>
      <c r="Q57" s="1883">
        <f ca="1">L60</f>
        <v>0</v>
      </c>
      <c r="R57" s="1883" t="s">
        <v>1561</v>
      </c>
    </row>
    <row r="58" spans="1:18" s="1839" customFormat="1" ht="24.75" thickBot="1">
      <c r="A58" s="358" t="s">
        <v>1030</v>
      </c>
      <c r="B58" s="1175" t="s">
        <v>1426</v>
      </c>
      <c r="C58" s="359">
        <f ca="1">ROUND(C59+C64+C65+C66,0)</f>
        <v>60</v>
      </c>
      <c r="D58" s="1177" t="s">
        <v>1427</v>
      </c>
      <c r="E58" s="1178"/>
      <c r="F58" s="1179"/>
      <c r="I58" s="1919" t="s">
        <v>1562</v>
      </c>
      <c r="J58" s="1921" t="e">
        <f ca="1">IF(J55&lt;0.4,0.4,J55)</f>
        <v>#VALUE!</v>
      </c>
      <c r="K58" s="1897" t="s">
        <v>1563</v>
      </c>
      <c r="L58" s="1887" t="e">
        <f ca="1">ROUND(POWER(1+L52,L47-L48)*(POWER(1+L52,L48)-1)/(POWER(1+L52,L47)-1),4)</f>
        <v>#DIV/0!</v>
      </c>
      <c r="O58" s="1891" t="s">
        <v>1042</v>
      </c>
      <c r="P58" s="1882" t="s">
        <v>1564</v>
      </c>
      <c r="Q58" s="1883">
        <f>IF(L55="比较法",L49,IF(L55="基准地价",L50,0))</f>
        <v>0</v>
      </c>
      <c r="R58" s="1883" t="s">
        <v>1531</v>
      </c>
    </row>
    <row r="59" spans="1:18" s="1839" customFormat="1" ht="24.75" thickBot="1">
      <c r="A59" s="1199" t="s">
        <v>1035</v>
      </c>
      <c r="B59" s="1167" t="s">
        <v>1431</v>
      </c>
      <c r="C59" s="24">
        <f ca="1">ROUND(IF(项目基本情况!B11="自然人",C48*F59,C60+C61+C62),1)</f>
        <v>18.5</v>
      </c>
      <c r="D59" s="1180" t="s">
        <v>1432</v>
      </c>
      <c r="E59" s="1181" t="s">
        <v>1433</v>
      </c>
      <c r="F59" s="366" t="str">
        <f ca="1">IF(项目基本情况!B11="企业","",IF(INDIRECT("'数据-取费表'!c"&amp;$G$1)="住宅",5%,IF(F49*F50*F51/12/(1+'数据-取费表'!C42)&gt;20000,12%,7%)))</f>
        <v/>
      </c>
      <c r="I59" s="1919" t="s">
        <v>1565</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1566</v>
      </c>
      <c r="Q59" s="1894">
        <f>L52</f>
        <v>0</v>
      </c>
      <c r="R59" s="1883"/>
    </row>
    <row r="60" spans="1:18" s="1839" customFormat="1" ht="16.5" thickBot="1">
      <c r="A60" s="1199" t="s">
        <v>1034</v>
      </c>
      <c r="B60" s="1167" t="s">
        <v>1435</v>
      </c>
      <c r="C60" s="24">
        <f ca="1">IF(项目基本情况!B11="自然人","——",ROUND(C48*F60/(1+'数据-取费表'!C42),2))</f>
        <v>0</v>
      </c>
      <c r="D60" s="1181" t="s">
        <v>1436</v>
      </c>
      <c r="E60" s="1167" t="s">
        <v>1424</v>
      </c>
      <c r="F60" s="375">
        <f t="shared" ref="F60:F66" si="0">F32</f>
        <v>5.6000000000000001E-2</v>
      </c>
      <c r="I60" s="1922" t="s">
        <v>1567</v>
      </c>
      <c r="J60" s="1923" t="str">
        <f ca="1">IF(OR(M47="住宅",J51&lt;L48,J56="是"),"0",ROUND(J59/(1+J52)^J53,0))</f>
        <v>0</v>
      </c>
      <c r="K60" s="1924" t="s">
        <v>1568</v>
      </c>
      <c r="L60" s="1923">
        <f ca="1">IF(OR(M47="住宅",L48&lt;J51),0,ROUND(L57*(L58/L59-1),0))</f>
        <v>0</v>
      </c>
      <c r="O60" s="1891" t="s">
        <v>1044</v>
      </c>
      <c r="P60" s="1882" t="s">
        <v>1569</v>
      </c>
      <c r="Q60" s="1883" t="e">
        <f ca="1">L58</f>
        <v>#DIV/0!</v>
      </c>
      <c r="R60" s="1883" t="s">
        <v>1570</v>
      </c>
    </row>
    <row r="61" spans="1:18" s="1839" customFormat="1" ht="13.5" thickBot="1">
      <c r="A61" s="1199" t="s">
        <v>1494</v>
      </c>
      <c r="B61" s="1167" t="s">
        <v>1439</v>
      </c>
      <c r="C61" s="24">
        <f ca="1">IF(项目基本情况!B11="自然人","——",IF(D61="按租金收入计税",ROUND(C48*F61,2),IF(D61="按房产原值计税",ROUND(C57*F61*0.7,2),INDIRECT("'数据-取费表'!Aj"&amp;$G$1))))</f>
        <v>15.86</v>
      </c>
      <c r="D61" s="1825" t="s">
        <v>1440</v>
      </c>
      <c r="E61" s="1167" t="s">
        <v>1424</v>
      </c>
      <c r="F61" s="365">
        <f t="shared" si="0"/>
        <v>1.2E-2</v>
      </c>
      <c r="I61" s="1925"/>
      <c r="J61" s="1925"/>
      <c r="K61" s="1925"/>
      <c r="L61" s="1925"/>
      <c r="O61" s="1891" t="s">
        <v>1045</v>
      </c>
      <c r="P61" s="1882" t="str">
        <f>K59</f>
        <v>续建工期及建筑物耐用年限下的土地年期修正系数Kn</v>
      </c>
      <c r="Q61" s="1883" t="e">
        <f ca="1">L59</f>
        <v>#DIV/0!</v>
      </c>
      <c r="R61" s="1883" t="s">
        <v>1571</v>
      </c>
    </row>
    <row r="62" spans="1:18" s="1839" customFormat="1" ht="13.5" thickBot="1">
      <c r="A62" s="1199" t="s">
        <v>1497</v>
      </c>
      <c r="B62" s="1166" t="s">
        <v>1443</v>
      </c>
      <c r="C62" s="25">
        <f ca="1">IF(项目基本情况!B11="自然人","——",ROUND(F62*F63/10000,2))</f>
        <v>2.62</v>
      </c>
      <c r="D62" s="1182" t="s">
        <v>1444</v>
      </c>
      <c r="E62" s="1167" t="s">
        <v>1445</v>
      </c>
      <c r="F62" s="369">
        <f t="shared" si="0"/>
        <v>16</v>
      </c>
      <c r="I62" s="1926" t="s">
        <v>1572</v>
      </c>
      <c r="J62" s="1927" t="s">
        <v>1573</v>
      </c>
      <c r="K62" s="1927" t="s">
        <v>1574</v>
      </c>
      <c r="L62" s="1927" t="s">
        <v>1575</v>
      </c>
      <c r="M62" s="1928" t="s">
        <v>1576</v>
      </c>
      <c r="O62" s="1881" t="s">
        <v>1046</v>
      </c>
      <c r="P62" s="1882" t="s">
        <v>1551</v>
      </c>
      <c r="Q62" s="1883">
        <f ca="1">Q56+Q57</f>
        <v>10781</v>
      </c>
      <c r="R62" s="1883" t="s">
        <v>1047</v>
      </c>
    </row>
    <row r="63" spans="1:18" s="1839" customFormat="1" ht="13.5" thickBot="1">
      <c r="A63" s="370"/>
      <c r="B63" s="1173"/>
      <c r="C63" s="29"/>
      <c r="D63" s="1183"/>
      <c r="E63" s="1167" t="s">
        <v>1449</v>
      </c>
      <c r="F63" s="346">
        <f t="shared" ca="1" si="0"/>
        <v>1639.4599999999998</v>
      </c>
      <c r="I63" s="1926" t="s">
        <v>1578</v>
      </c>
      <c r="J63" s="1927">
        <v>70</v>
      </c>
      <c r="K63" s="1927">
        <v>50</v>
      </c>
      <c r="L63" s="1927">
        <v>80</v>
      </c>
      <c r="M63" s="1929">
        <v>0.02</v>
      </c>
      <c r="O63" s="1866" t="s">
        <v>1579</v>
      </c>
      <c r="P63" s="1836"/>
      <c r="Q63" s="1836"/>
      <c r="R63" s="1836"/>
    </row>
    <row r="64" spans="1:18" s="1839" customFormat="1" ht="13.5" thickBot="1">
      <c r="A64" s="1199" t="s">
        <v>1039</v>
      </c>
      <c r="B64" s="1167" t="s">
        <v>1451</v>
      </c>
      <c r="C64" s="24">
        <f ca="1">ROUND(C57*F64,1)</f>
        <v>37.799999999999997</v>
      </c>
      <c r="D64" s="1181" t="s">
        <v>1484</v>
      </c>
      <c r="E64" s="1167" t="s">
        <v>1424</v>
      </c>
      <c r="F64" s="372">
        <f t="shared" ca="1" si="0"/>
        <v>0.02</v>
      </c>
      <c r="I64" s="1926" t="s">
        <v>1580</v>
      </c>
      <c r="J64" s="1927">
        <v>50</v>
      </c>
      <c r="K64" s="1927">
        <v>35</v>
      </c>
      <c r="L64" s="1927">
        <v>60</v>
      </c>
      <c r="M64" s="1928">
        <v>0</v>
      </c>
      <c r="O64" s="1874" t="s">
        <v>1524</v>
      </c>
      <c r="P64" s="1875" t="s">
        <v>1525</v>
      </c>
      <c r="Q64" s="1876" t="s">
        <v>1526</v>
      </c>
      <c r="R64" s="1876" t="s">
        <v>1527</v>
      </c>
    </row>
    <row r="65" spans="1:18" s="1839" customFormat="1" ht="13.5" thickBot="1">
      <c r="A65" s="1199" t="s">
        <v>1505</v>
      </c>
      <c r="B65" s="1167" t="s">
        <v>1455</v>
      </c>
      <c r="C65" s="24">
        <f ca="1">ROUND(C56*F65,1)</f>
        <v>3.8</v>
      </c>
      <c r="D65" s="1181" t="s">
        <v>1456</v>
      </c>
      <c r="E65" s="1167" t="s">
        <v>1424</v>
      </c>
      <c r="F65" s="374">
        <f t="shared" ca="1" si="0"/>
        <v>2E-3</v>
      </c>
      <c r="I65" s="1926" t="s">
        <v>1581</v>
      </c>
      <c r="J65" s="1927">
        <v>40</v>
      </c>
      <c r="K65" s="1927">
        <v>30</v>
      </c>
      <c r="L65" s="1927">
        <v>50</v>
      </c>
      <c r="M65" s="1929">
        <v>0.02</v>
      </c>
      <c r="O65" s="1881" t="s">
        <v>1040</v>
      </c>
      <c r="P65" s="1882" t="s">
        <v>1530</v>
      </c>
      <c r="Q65" s="1883">
        <f ca="1">C40+J29</f>
        <v>10781</v>
      </c>
      <c r="R65" s="1883" t="s">
        <v>1531</v>
      </c>
    </row>
    <row r="66" spans="1:18" s="1839" customFormat="1" ht="16.5" thickBot="1">
      <c r="A66" s="1199" t="s">
        <v>1506</v>
      </c>
      <c r="B66" s="1167" t="s">
        <v>1441</v>
      </c>
      <c r="C66" s="24">
        <f ca="1">ROUND(C48*F66,1)</f>
        <v>0</v>
      </c>
      <c r="D66" s="1181" t="s">
        <v>1461</v>
      </c>
      <c r="E66" s="1167" t="s">
        <v>1424</v>
      </c>
      <c r="F66" s="355">
        <f t="shared" ca="1" si="0"/>
        <v>0.02</v>
      </c>
      <c r="O66" s="1881" t="s">
        <v>1041</v>
      </c>
      <c r="P66" s="1882" t="s">
        <v>1560</v>
      </c>
      <c r="Q66" s="1883">
        <f ca="1">L60</f>
        <v>0</v>
      </c>
      <c r="R66" s="1883" t="s">
        <v>1583</v>
      </c>
    </row>
    <row r="67" spans="1:18" s="1839" customFormat="1" ht="16.5" thickBot="1">
      <c r="A67" s="1174" t="s">
        <v>1031</v>
      </c>
      <c r="B67" s="1184" t="s">
        <v>1465</v>
      </c>
      <c r="C67" s="359">
        <f ca="1">C48-C58</f>
        <v>-60</v>
      </c>
      <c r="D67" s="1180" t="s">
        <v>1466</v>
      </c>
      <c r="E67" s="1185"/>
      <c r="F67" s="1186"/>
      <c r="O67" s="1891" t="s">
        <v>1042</v>
      </c>
      <c r="P67" s="1882" t="s">
        <v>1564</v>
      </c>
      <c r="Q67" s="1930">
        <f ca="1">L51</f>
        <v>5432</v>
      </c>
      <c r="R67" s="1883" t="s">
        <v>1584</v>
      </c>
    </row>
    <row r="68" spans="1:18" s="1839" customFormat="1" ht="16.5" thickBot="1">
      <c r="A68" s="1164" t="s">
        <v>1032</v>
      </c>
      <c r="B68" s="1165" t="s">
        <v>1487</v>
      </c>
      <c r="C68" s="344">
        <f ca="1">ROUND(C67*(1-((1+F70)/(1+F68))^F69)/(F68-F70),0)</f>
        <v>-936</v>
      </c>
      <c r="D68" s="1182" t="s">
        <v>1471</v>
      </c>
      <c r="E68" s="1167" t="s">
        <v>1472</v>
      </c>
      <c r="F68" s="355">
        <f ca="1">F40</f>
        <v>5.5E-2</v>
      </c>
      <c r="O68" s="1891" t="s">
        <v>1043</v>
      </c>
      <c r="P68" s="1931" t="s">
        <v>1585</v>
      </c>
      <c r="Q68" s="1883">
        <f ca="1">ROUND(Q69-Q70*Q71,0)</f>
        <v>302</v>
      </c>
      <c r="R68" s="1883" t="s">
        <v>1051</v>
      </c>
    </row>
    <row r="69" spans="1:18" s="1839" customFormat="1" ht="13.5" thickBot="1">
      <c r="A69" s="1168"/>
      <c r="B69" s="1169"/>
      <c r="C69" s="349"/>
      <c r="D69" s="1187" t="s">
        <v>1475</v>
      </c>
      <c r="E69" s="1167" t="s">
        <v>1476</v>
      </c>
      <c r="F69" s="377">
        <f ca="1">F41</f>
        <v>36.510000000000005</v>
      </c>
      <c r="O69" s="1891" t="s">
        <v>1048</v>
      </c>
      <c r="P69" s="1931" t="s">
        <v>1586</v>
      </c>
      <c r="Q69" s="1883">
        <f ca="1">C39</f>
        <v>462</v>
      </c>
      <c r="R69" s="1883" t="s">
        <v>1531</v>
      </c>
    </row>
    <row r="70" spans="1:18" s="1839" customFormat="1" ht="13.5" thickBot="1">
      <c r="A70" s="1171"/>
      <c r="B70" s="1172"/>
      <c r="C70" s="353"/>
      <c r="D70" s="1183"/>
      <c r="E70" s="1167" t="s">
        <v>1479</v>
      </c>
      <c r="F70" s="1273"/>
      <c r="O70" s="1891" t="s">
        <v>1049</v>
      </c>
      <c r="P70" s="1931" t="s">
        <v>1587</v>
      </c>
      <c r="Q70" s="1883">
        <f ca="1">C13</f>
        <v>1888</v>
      </c>
      <c r="R70" s="1883" t="s">
        <v>1531</v>
      </c>
    </row>
    <row r="71" spans="1:18" s="1839" customFormat="1" ht="13.5" thickBot="1">
      <c r="A71" s="1188" t="s">
        <v>1033</v>
      </c>
      <c r="B71" s="1189" t="s">
        <v>1489</v>
      </c>
      <c r="C71" s="380">
        <f ca="1">ROUND(C68*10000/F71,0)</f>
        <v>-1807</v>
      </c>
      <c r="D71" s="1190" t="s">
        <v>1490</v>
      </c>
      <c r="E71" s="1191" t="s">
        <v>1491</v>
      </c>
      <c r="F71" s="383">
        <f ca="1">F43</f>
        <v>5178.66</v>
      </c>
      <c r="O71" s="1891" t="s">
        <v>1050</v>
      </c>
      <c r="P71" s="1931" t="s">
        <v>1588</v>
      </c>
      <c r="Q71" s="1894">
        <f ca="1">C76</f>
        <v>8.5000000000000006E-2</v>
      </c>
      <c r="R71" s="1883"/>
    </row>
    <row r="72" spans="1:18" s="1839" customFormat="1" ht="13.5" thickBot="1">
      <c r="B72" s="793"/>
      <c r="C72" s="793"/>
      <c r="O72" s="1891" t="s">
        <v>1044</v>
      </c>
      <c r="P72" s="1882" t="s">
        <v>1566</v>
      </c>
      <c r="Q72" s="1894">
        <f>L52</f>
        <v>0</v>
      </c>
      <c r="R72" s="1883"/>
    </row>
    <row r="73" spans="1:18" ht="16.5" thickBot="1">
      <c r="A73" s="1839"/>
      <c r="B73" s="793"/>
      <c r="C73" s="793"/>
      <c r="D73" s="1839"/>
      <c r="E73" s="1839"/>
      <c r="F73" s="1839"/>
      <c r="O73" s="1891" t="s">
        <v>1045</v>
      </c>
      <c r="P73" s="1882" t="s">
        <v>1569</v>
      </c>
      <c r="Q73" s="1883" t="e">
        <f ca="1">L58</f>
        <v>#DIV/0!</v>
      </c>
      <c r="R73" s="1883" t="s">
        <v>1570</v>
      </c>
    </row>
    <row r="74" spans="1:18" ht="13.5" thickBot="1">
      <c r="A74" s="1839"/>
      <c r="B74" s="315" t="s">
        <v>1589</v>
      </c>
      <c r="C74" s="1933"/>
      <c r="D74" s="1839"/>
      <c r="E74" s="1839"/>
      <c r="F74" s="1839"/>
      <c r="O74" s="1891" t="s">
        <v>1052</v>
      </c>
      <c r="P74" s="1882" t="str">
        <f>K59</f>
        <v>续建工期及建筑物耐用年限下的土地年期修正系数Kn</v>
      </c>
      <c r="Q74" s="1883" t="e">
        <f ca="1">L59</f>
        <v>#DIV/0!</v>
      </c>
      <c r="R74" s="1883" t="s">
        <v>1571</v>
      </c>
    </row>
    <row r="75" spans="1:18" ht="13.5" thickBot="1">
      <c r="A75" s="1839"/>
      <c r="B75" s="384" t="s">
        <v>1508</v>
      </c>
      <c r="C75" s="385">
        <f ca="1">ROUND(C13*C76,0)</f>
        <v>160</v>
      </c>
      <c r="D75" s="1839"/>
      <c r="E75" s="1839"/>
      <c r="F75" s="1839"/>
      <c r="K75" s="1865"/>
      <c r="L75" s="1839"/>
      <c r="O75" s="1881" t="s">
        <v>1046</v>
      </c>
      <c r="P75" s="1882" t="s">
        <v>1551</v>
      </c>
      <c r="Q75" s="1883">
        <f ca="1">Q65+Q66</f>
        <v>10781</v>
      </c>
      <c r="R75" s="1883" t="s">
        <v>1047</v>
      </c>
    </row>
    <row r="76" spans="1:18">
      <c r="B76" s="386" t="s">
        <v>1509</v>
      </c>
      <c r="C76" s="387">
        <f ca="1">INDIRECT("'数据-取费表'!j"&amp;$G$1)</f>
        <v>8.5000000000000006E-2</v>
      </c>
      <c r="I76" s="1839"/>
      <c r="J76" s="1839"/>
      <c r="K76" s="1865"/>
      <c r="L76" s="1839"/>
    </row>
    <row r="77" spans="1:18">
      <c r="B77" s="388" t="s">
        <v>1510</v>
      </c>
      <c r="C77" s="389"/>
      <c r="I77" s="1839"/>
      <c r="J77" s="1839"/>
      <c r="K77" s="1865"/>
      <c r="L77" s="1839"/>
    </row>
    <row r="78" spans="1:18">
      <c r="B78" s="312" t="s">
        <v>1511</v>
      </c>
      <c r="C78" s="390"/>
    </row>
    <row r="79" spans="1:18">
      <c r="B79" s="384" t="s">
        <v>1512</v>
      </c>
      <c r="C79" s="316">
        <f ca="1">1-C80</f>
        <v>0.65400000000000003</v>
      </c>
    </row>
    <row r="80" spans="1:18">
      <c r="B80" s="384" t="s">
        <v>1513</v>
      </c>
      <c r="C80" s="316">
        <f ca="1">ROUND(C75/C39,3)</f>
        <v>0.34599999999999997</v>
      </c>
    </row>
    <row r="81" spans="2:3">
      <c r="B81" s="312" t="s">
        <v>1514</v>
      </c>
      <c r="C81" s="280"/>
    </row>
    <row r="82" spans="2:3">
      <c r="B82" s="315" t="s">
        <v>1515</v>
      </c>
      <c r="C82" s="317">
        <f ca="1">1-C83</f>
        <v>0.82499999999999996</v>
      </c>
    </row>
    <row r="83" spans="2:3">
      <c r="B83" s="315" t="s">
        <v>1516</v>
      </c>
      <c r="C83" s="316">
        <f ca="1">ROUND(C13/C40,3)</f>
        <v>0.17499999999999999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D1" sqref="D1"/>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2" customWidth="1"/>
    <col min="12" max="12" width="16.375" style="300" customWidth="1"/>
    <col min="13" max="13" width="13" style="300"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0"/>
  </cols>
  <sheetData>
    <row r="1" spans="1:37" s="335" customFormat="1" ht="21">
      <c r="A1" s="1830" t="s">
        <v>1591</v>
      </c>
      <c r="B1" s="779"/>
      <c r="C1" s="1834" t="s">
        <v>3104</v>
      </c>
      <c r="D1" s="1817" t="s">
        <v>3136</v>
      </c>
      <c r="E1" s="1818" t="s">
        <v>1388</v>
      </c>
      <c r="F1" s="1281">
        <f ca="1">J53</f>
        <v>36.510000000000005</v>
      </c>
      <c r="G1" s="1833">
        <f>MATCH(C1,'数据-取费表'!A6:A16,0)+5</f>
        <v>8</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1517</v>
      </c>
      <c r="B2" s="1841">
        <f ca="1">C40+J29+L46</f>
        <v>2066</v>
      </c>
      <c r="C2" s="1842" t="s">
        <v>1518</v>
      </c>
      <c r="D2" s="1842"/>
      <c r="E2" s="1843"/>
      <c r="F2" s="1844"/>
      <c r="G2" s="1845"/>
      <c r="H2" s="1837"/>
      <c r="I2" s="1837"/>
      <c r="J2" s="1837"/>
      <c r="K2" s="1838"/>
      <c r="L2" s="1837"/>
      <c r="M2" s="1837"/>
    </row>
    <row r="3" spans="1:37" ht="18" customHeight="1" thickBot="1">
      <c r="A3" s="1846" t="s">
        <v>1519</v>
      </c>
      <c r="B3" s="1847">
        <f ca="1">IF(ISERROR(B2*10000/F43),0,ROUND(B2*10000/F43,0))</f>
        <v>2750</v>
      </c>
      <c r="C3" s="1842" t="s">
        <v>1520</v>
      </c>
      <c r="D3" s="1842"/>
      <c r="E3" s="1843"/>
      <c r="F3" s="1844"/>
      <c r="G3" s="1845"/>
      <c r="H3" s="741" t="s">
        <v>1590</v>
      </c>
      <c r="I3" s="1837"/>
      <c r="J3" s="1837"/>
      <c r="K3" s="1838"/>
      <c r="L3" s="1837"/>
      <c r="M3" s="1837"/>
    </row>
    <row r="4" spans="1:37" ht="18" customHeight="1">
      <c r="A4" s="338" t="s">
        <v>1397</v>
      </c>
      <c r="B4" s="339" t="s">
        <v>1398</v>
      </c>
      <c r="C4" s="339" t="s">
        <v>1399</v>
      </c>
      <c r="D4" s="339" t="s">
        <v>1400</v>
      </c>
      <c r="E4" s="340" t="s">
        <v>1401</v>
      </c>
      <c r="F4" s="341"/>
      <c r="G4" s="1848"/>
      <c r="H4" s="338" t="s">
        <v>1397</v>
      </c>
      <c r="I4" s="339" t="s">
        <v>1398</v>
      </c>
      <c r="J4" s="339" t="s">
        <v>1399</v>
      </c>
      <c r="K4" s="339" t="s">
        <v>1400</v>
      </c>
      <c r="L4" s="340" t="s">
        <v>1401</v>
      </c>
      <c r="M4" s="341"/>
    </row>
    <row r="5" spans="1:37" ht="18" customHeight="1">
      <c r="A5" s="342">
        <v>1</v>
      </c>
      <c r="B5" s="343" t="s">
        <v>1402</v>
      </c>
      <c r="C5" s="1290">
        <f ca="1">C6+C10+C12</f>
        <v>174</v>
      </c>
      <c r="D5" s="1819" t="s">
        <v>1403</v>
      </c>
      <c r="E5" s="1291"/>
      <c r="F5" s="1292"/>
      <c r="G5" s="1848"/>
      <c r="H5" s="342">
        <v>1</v>
      </c>
      <c r="I5" s="343" t="s">
        <v>1402</v>
      </c>
      <c r="J5" s="1290">
        <f ca="1">J6+J10+J12</f>
        <v>0</v>
      </c>
      <c r="K5" s="1819" t="s">
        <v>1403</v>
      </c>
      <c r="L5" s="1291"/>
      <c r="M5" s="1292"/>
    </row>
    <row r="6" spans="1:37" ht="18" customHeight="1">
      <c r="A6" s="1289" t="s">
        <v>1035</v>
      </c>
      <c r="B6" s="3226" t="s">
        <v>1404</v>
      </c>
      <c r="C6" s="1294">
        <f ca="1">ROUND(F6*F8*F7*(1-F9)/10000,0)</f>
        <v>174</v>
      </c>
      <c r="D6" s="162" t="s">
        <v>3039</v>
      </c>
      <c r="E6" s="345" t="s">
        <v>1406</v>
      </c>
      <c r="F6" s="346">
        <f ca="1">INDIRECT("'数据-取费表'!u"&amp;$G$1)</f>
        <v>600</v>
      </c>
      <c r="G6" s="1848"/>
      <c r="H6" s="1289" t="s">
        <v>1035</v>
      </c>
      <c r="I6" s="3226" t="s">
        <v>1404</v>
      </c>
      <c r="J6" s="344">
        <f ca="1">ROUND(M6*M8*M7*(1-M9)/10000,0)</f>
        <v>0</v>
      </c>
      <c r="K6" s="162" t="s">
        <v>3038</v>
      </c>
      <c r="L6" s="345" t="s">
        <v>1406</v>
      </c>
      <c r="M6" s="346">
        <f ca="1">INDIRECT("'数据-取费表'!z"&amp;$G$1)</f>
        <v>0</v>
      </c>
    </row>
    <row r="7" spans="1:37" ht="18" customHeight="1">
      <c r="A7" s="1293"/>
      <c r="B7" s="3227"/>
      <c r="C7" s="1295"/>
      <c r="D7" s="350"/>
      <c r="E7" s="1296" t="s">
        <v>1407</v>
      </c>
      <c r="F7" s="346">
        <f ca="1">IF(INDIRECT("'数据-取费表'!ah"&amp;$G$1)="",INDIRECT("'数据-取费表'!k"&amp;$G$1),INDIRECT("'数据-取费表'!ah"&amp;$G$1))</f>
        <v>268</v>
      </c>
      <c r="G7" s="1848"/>
      <c r="H7" s="347"/>
      <c r="I7" s="3227"/>
      <c r="J7" s="349"/>
      <c r="K7" s="350"/>
      <c r="L7" s="345" t="s">
        <v>1407</v>
      </c>
      <c r="M7" s="346">
        <f ca="1">F7</f>
        <v>268</v>
      </c>
    </row>
    <row r="8" spans="1:37" ht="18" customHeight="1">
      <c r="A8" s="347"/>
      <c r="B8" s="3227"/>
      <c r="C8" s="349"/>
      <c r="D8" s="350"/>
      <c r="E8" s="345" t="s">
        <v>1408</v>
      </c>
      <c r="F8" s="346">
        <f ca="1">INDIRECT("'数据-取费表'!ai"&amp;$G$1)</f>
        <v>12</v>
      </c>
      <c r="G8" s="1848"/>
      <c r="H8" s="347"/>
      <c r="I8" s="3227"/>
      <c r="J8" s="349"/>
      <c r="K8" s="350"/>
      <c r="L8" s="345" t="s">
        <v>1408</v>
      </c>
      <c r="M8" s="346">
        <f ca="1">INDIRECT("'数据-取费表'!ai"&amp;$G$1)</f>
        <v>12</v>
      </c>
    </row>
    <row r="9" spans="1:37" ht="18" customHeight="1">
      <c r="A9" s="347"/>
      <c r="B9" s="3228"/>
      <c r="C9" s="349"/>
      <c r="D9" s="350"/>
      <c r="E9" s="345" t="s">
        <v>1409</v>
      </c>
      <c r="F9" s="355">
        <f ca="1">INDIRECT("'数据-取费表'!w"&amp;$G$1)</f>
        <v>0.1</v>
      </c>
      <c r="G9" s="1848"/>
      <c r="H9" s="347"/>
      <c r="I9" s="3228"/>
      <c r="J9" s="349"/>
      <c r="K9" s="350"/>
      <c r="L9" s="356" t="s">
        <v>1409</v>
      </c>
      <c r="M9" s="357">
        <f ca="1">INDIRECT("'数据-取费表'!ab"&amp;$G$1)</f>
        <v>0</v>
      </c>
    </row>
    <row r="10" spans="1:37" ht="18" customHeight="1">
      <c r="A10" s="1289" t="s">
        <v>1039</v>
      </c>
      <c r="B10" s="1820" t="s">
        <v>1410</v>
      </c>
      <c r="C10" s="359">
        <f ca="1">ROUND(IF(F10="押一",F6*F8*F7/12*F11,IF(F10="押二",F6*F8*F7/12*2*F11,IF(F10="押三",F6*F8*F7/12*3*F11,C11*F11)))/10000,0)</f>
        <v>0</v>
      </c>
      <c r="D10" s="1821" t="s">
        <v>3040</v>
      </c>
      <c r="E10" s="356" t="s">
        <v>1412</v>
      </c>
      <c r="F10" s="1364" t="s">
        <v>3133</v>
      </c>
      <c r="G10" s="1848"/>
      <c r="H10" s="1289" t="s">
        <v>1039</v>
      </c>
      <c r="I10" s="1820" t="s">
        <v>1410</v>
      </c>
      <c r="J10" s="344">
        <f ca="1">ROUND(IF(M10="押一",M6*M8*M7/12*M11,IF(M10="押二",M6*M8*M7/12*2*M11,IF(M10="押三",M6*M8*M7/12*3*M11,J11*M11)))/10000,0)</f>
        <v>0</v>
      </c>
      <c r="K10" s="1821" t="s">
        <v>3041</v>
      </c>
      <c r="L10" s="356" t="s">
        <v>1412</v>
      </c>
      <c r="M10" s="1364" t="s">
        <v>1413</v>
      </c>
    </row>
    <row r="11" spans="1:37" ht="18" customHeight="1">
      <c r="A11" s="351"/>
      <c r="B11" s="1822" t="s">
        <v>1389</v>
      </c>
      <c r="C11" s="1176"/>
      <c r="D11" s="1823"/>
      <c r="E11" s="356" t="s">
        <v>1414</v>
      </c>
      <c r="F11" s="357">
        <f ca="1">'数据-取费表'!B39</f>
        <v>1.4999999999999999E-2</v>
      </c>
      <c r="G11" s="1848"/>
      <c r="H11" s="1297"/>
      <c r="I11" s="1822" t="s">
        <v>1389</v>
      </c>
      <c r="J11" s="1176"/>
      <c r="K11" s="745"/>
      <c r="L11" s="356" t="s">
        <v>1414</v>
      </c>
      <c r="M11" s="1054">
        <f ca="1">'数据-取费表'!B39</f>
        <v>1.4999999999999999E-2</v>
      </c>
    </row>
    <row r="12" spans="1:37" ht="18" customHeight="1" thickBot="1">
      <c r="A12" s="1331" t="s">
        <v>1075</v>
      </c>
      <c r="B12" s="1824" t="s">
        <v>1415</v>
      </c>
      <c r="C12" s="1332"/>
      <c r="D12" s="1333"/>
      <c r="E12" s="1338"/>
      <c r="F12" s="1334"/>
      <c r="G12" s="1848"/>
      <c r="H12" s="1331" t="s">
        <v>1075</v>
      </c>
      <c r="I12" s="1824" t="s">
        <v>1415</v>
      </c>
      <c r="J12" s="1332"/>
      <c r="K12" s="1346"/>
      <c r="L12" s="1338"/>
      <c r="M12" s="1347"/>
    </row>
    <row r="13" spans="1:37" ht="18" customHeight="1" thickTop="1">
      <c r="A13" s="1327">
        <v>2</v>
      </c>
      <c r="B13" s="1328" t="s">
        <v>1416</v>
      </c>
      <c r="C13" s="353">
        <f ca="1">ROUND(C29*F13,0)</f>
        <v>2270</v>
      </c>
      <c r="D13" s="1329" t="s">
        <v>1417</v>
      </c>
      <c r="E13" s="1329" t="s">
        <v>1418</v>
      </c>
      <c r="F13" s="1330">
        <f ca="1">INDIRECT("'数据-取费表'!y"&amp;$G$1)</f>
        <v>1</v>
      </c>
      <c r="G13" s="1848"/>
      <c r="H13" s="1327">
        <v>2</v>
      </c>
      <c r="I13" s="1328" t="s">
        <v>1416</v>
      </c>
      <c r="J13" s="1288">
        <f ca="1">ROUND(J14*J15,0)</f>
        <v>0</v>
      </c>
      <c r="K13" s="1335" t="s">
        <v>1417</v>
      </c>
      <c r="L13" s="1849"/>
      <c r="M13" s="1850"/>
    </row>
    <row r="14" spans="1:37" ht="18" customHeight="1">
      <c r="A14" s="1199" t="s">
        <v>1034</v>
      </c>
      <c r="B14" s="345" t="s">
        <v>1419</v>
      </c>
      <c r="C14" s="361">
        <f ca="1">INDIRECT("'数据-取费表'!m"&amp;$G$1)+INDIRECT("'数据-取费表'!t"&amp;$G$1)</f>
        <v>1661</v>
      </c>
      <c r="D14" s="1797" t="s">
        <v>1420</v>
      </c>
      <c r="E14" s="1791"/>
      <c r="F14" s="362"/>
      <c r="G14" s="1848"/>
      <c r="H14" s="1199" t="s">
        <v>1035</v>
      </c>
      <c r="I14" s="345" t="s">
        <v>1421</v>
      </c>
      <c r="J14" s="24">
        <f ca="1">C29</f>
        <v>2270</v>
      </c>
      <c r="K14" s="15"/>
      <c r="L14" s="977"/>
      <c r="M14" s="978"/>
    </row>
    <row r="15" spans="1:37" s="1855" customFormat="1" ht="18" customHeight="1" thickBot="1">
      <c r="A15" s="1199" t="s">
        <v>1036</v>
      </c>
      <c r="B15" s="345" t="s">
        <v>1422</v>
      </c>
      <c r="C15" s="24">
        <f ca="1">ROUND(C14*F15,0)</f>
        <v>50</v>
      </c>
      <c r="D15" s="363" t="s">
        <v>1423</v>
      </c>
      <c r="E15" s="363" t="s">
        <v>1424</v>
      </c>
      <c r="F15" s="364">
        <f>'数据-取费表'!B33</f>
        <v>0.03</v>
      </c>
      <c r="G15" s="1851"/>
      <c r="H15" s="1337" t="s">
        <v>1039</v>
      </c>
      <c r="I15" s="1338" t="s">
        <v>1418</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1390</v>
      </c>
      <c r="B16" s="345" t="s">
        <v>1425</v>
      </c>
      <c r="C16" s="24">
        <f ca="1">ROUND(INDIRECT("'数据-取费表'!m"&amp;$G$1)*F16,0)</f>
        <v>0</v>
      </c>
      <c r="D16" s="345" t="s">
        <v>1423</v>
      </c>
      <c r="E16" s="345" t="s">
        <v>1424</v>
      </c>
      <c r="F16" s="365">
        <f ca="1">IF(INDIRECT("'数据-取费表'!c"&amp;$G$1)="住宅",'数据-取费表'!B34,0)</f>
        <v>0</v>
      </c>
      <c r="G16" s="1848"/>
      <c r="H16" s="1327" t="s">
        <v>1030</v>
      </c>
      <c r="I16" s="1328" t="s">
        <v>1426</v>
      </c>
      <c r="J16" s="353">
        <f ca="1">ROUND(J17+J22+J23+J24,0)</f>
        <v>68</v>
      </c>
      <c r="K16" s="1335" t="s">
        <v>1427</v>
      </c>
      <c r="L16" s="1336"/>
      <c r="M16" s="1292"/>
    </row>
    <row r="17" spans="1:37" s="1855" customFormat="1" ht="18" customHeight="1">
      <c r="A17" s="1199" t="s">
        <v>1391</v>
      </c>
      <c r="B17" s="345" t="s">
        <v>1428</v>
      </c>
      <c r="C17" s="24">
        <f ca="1">ROUND(F17*(F43+INDIRECT("'数据-取费表'!S"&amp;$G$1))/10000,0)</f>
        <v>151</v>
      </c>
      <c r="D17" s="345" t="s">
        <v>1429</v>
      </c>
      <c r="E17" s="345" t="s">
        <v>1430</v>
      </c>
      <c r="F17" s="26">
        <f>'数据-取费表'!B35</f>
        <v>200</v>
      </c>
      <c r="G17" s="1851"/>
      <c r="H17" s="1199" t="s">
        <v>1035</v>
      </c>
      <c r="I17" s="345" t="s">
        <v>1431</v>
      </c>
      <c r="J17" s="24">
        <f ca="1">ROUND(IF(项目基本情况!B11="自然人",J5*M17,J18+J19+J20),1)</f>
        <v>22.9</v>
      </c>
      <c r="K17" s="1797" t="s">
        <v>1432</v>
      </c>
      <c r="L17" s="1795" t="s">
        <v>1433</v>
      </c>
      <c r="M17" s="366"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1392</v>
      </c>
      <c r="B18" s="345" t="s">
        <v>1434</v>
      </c>
      <c r="C18" s="24">
        <f ca="1">ROUND(C14*F18,0)</f>
        <v>25</v>
      </c>
      <c r="D18" s="345" t="s">
        <v>1423</v>
      </c>
      <c r="E18" s="345" t="s">
        <v>1424</v>
      </c>
      <c r="F18" s="365">
        <f>'数据-取费表'!B36</f>
        <v>1.4999999999999999E-2</v>
      </c>
      <c r="G18" s="1851"/>
      <c r="H18" s="1199" t="s">
        <v>1034</v>
      </c>
      <c r="I18" s="345" t="s">
        <v>1435</v>
      </c>
      <c r="J18" s="24">
        <f ca="1">ROUND(J5*M18/(1+'数据-取费表'!C42),2)</f>
        <v>0</v>
      </c>
      <c r="K18" s="1795" t="s">
        <v>1436</v>
      </c>
      <c r="L18" s="345" t="s">
        <v>1424</v>
      </c>
      <c r="M18" s="365">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5" t="s">
        <v>1437</v>
      </c>
      <c r="C19" s="24">
        <f ca="1">SUM(C14:C18)</f>
        <v>1887</v>
      </c>
      <c r="D19" s="137" t="s">
        <v>1438</v>
      </c>
      <c r="E19" s="1815"/>
      <c r="F19" s="26"/>
      <c r="G19" s="1848"/>
      <c r="H19" s="1199" t="s">
        <v>1036</v>
      </c>
      <c r="I19" s="345" t="s">
        <v>1439</v>
      </c>
      <c r="J19" s="24">
        <f ca="1">IF(K19="按租金收入计税",ROUND(J5*M19,2),ROUND(C29*M19*0.7,2))</f>
        <v>19.07</v>
      </c>
      <c r="K19" s="1825" t="s">
        <v>1440</v>
      </c>
      <c r="L19" s="345" t="s">
        <v>1424</v>
      </c>
      <c r="M19" s="365">
        <f>IF(K19="按租金收入计税",'数据-取费表'!B51,'数据-取费表'!B50)</f>
        <v>1.2E-2</v>
      </c>
    </row>
    <row r="20" spans="1:37" s="1855" customFormat="1" ht="18" customHeight="1">
      <c r="A20" s="1199" t="s">
        <v>1039</v>
      </c>
      <c r="B20" s="345" t="s">
        <v>1441</v>
      </c>
      <c r="C20" s="24">
        <f ca="1">ROUND(C19*F20,0)</f>
        <v>28</v>
      </c>
      <c r="D20" s="367" t="s">
        <v>1442</v>
      </c>
      <c r="E20" s="345" t="s">
        <v>1424</v>
      </c>
      <c r="F20" s="365">
        <f>'数据-取费表'!B37</f>
        <v>1.4999999999999999E-2</v>
      </c>
      <c r="G20" s="1851"/>
      <c r="H20" s="1199" t="s">
        <v>1390</v>
      </c>
      <c r="I20" s="162" t="s">
        <v>1443</v>
      </c>
      <c r="J20" s="25">
        <f ca="1">ROUND(M20*M21/10000,2)</f>
        <v>3.81</v>
      </c>
      <c r="K20" s="368" t="s">
        <v>1444</v>
      </c>
      <c r="L20" s="345" t="s">
        <v>1445</v>
      </c>
      <c r="M20" s="369">
        <f>'数据-取费表'!B52</f>
        <v>16</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5" t="s">
        <v>1446</v>
      </c>
      <c r="C21" s="24" t="s">
        <v>18</v>
      </c>
      <c r="D21" s="367" t="s">
        <v>1447</v>
      </c>
      <c r="E21" s="345" t="s">
        <v>1448</v>
      </c>
      <c r="F21" s="365">
        <f>'数据-取费表'!B38</f>
        <v>2.5000000000000001E-2</v>
      </c>
      <c r="G21" s="1851"/>
      <c r="H21" s="370"/>
      <c r="I21" s="354"/>
      <c r="J21" s="29"/>
      <c r="K21" s="371"/>
      <c r="L21" s="345" t="s">
        <v>1449</v>
      </c>
      <c r="M21" s="346">
        <f ca="1">INDIRECT("'数据-取费表'!r"&amp;$G$1)</f>
        <v>2378.67</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1393</v>
      </c>
      <c r="B22" s="345" t="s">
        <v>1450</v>
      </c>
      <c r="C22" s="24"/>
      <c r="D22" s="137" t="str">
        <f>IF(F23&lt;=1,"单利计息。","复利计息。")&amp;"建造成本、管理费用、销售费用产生的利息。"</f>
        <v>复利计息。建造成本、管理费用、销售费用产生的利息。</v>
      </c>
      <c r="E22" s="1815"/>
      <c r="F22" s="26"/>
      <c r="G22" s="1848"/>
      <c r="H22" s="1199" t="s">
        <v>1039</v>
      </c>
      <c r="I22" s="345" t="s">
        <v>1451</v>
      </c>
      <c r="J22" s="24">
        <f ca="1">ROUND(J14*M22,1)</f>
        <v>45.4</v>
      </c>
      <c r="K22" s="1795" t="s">
        <v>1452</v>
      </c>
      <c r="L22" s="345" t="s">
        <v>1424</v>
      </c>
      <c r="M22" s="372">
        <f ca="1">INDIRECT("'数据-取费表'!Ak"&amp;$G$1)</f>
        <v>0.02</v>
      </c>
    </row>
    <row r="23" spans="1:37" s="1855" customFormat="1" ht="18" customHeight="1">
      <c r="A23" s="1199" t="s">
        <v>1034</v>
      </c>
      <c r="B23" s="345" t="s">
        <v>1453</v>
      </c>
      <c r="C23" s="24">
        <f ca="1">IF('数据-取费表'!B22&lt;=1,ROUND(C19*F24*F23/2,0)+ROUND(C20*F24*F23/2,0),ROUND(C19*(POWER((1+F24),F23/2)-1),0)+ROUND(C20*(POWER((1+F24),F23/2)-1),0))</f>
        <v>115</v>
      </c>
      <c r="D23" s="373" t="str">
        <f>IF(F23&lt;=1,"(建造成本+管理费用)×利率×(建设周期÷2)","(建造成本+管理费用)×((1+利率)^(建设周期÷2)-1)")</f>
        <v>(建造成本+管理费用)×((1+利率)^(建设周期÷2)-1)</v>
      </c>
      <c r="E23" s="345" t="s">
        <v>1454</v>
      </c>
      <c r="F23" s="369">
        <f>'数据-取费表'!B20</f>
        <v>2.5</v>
      </c>
      <c r="G23" s="1851"/>
      <c r="H23" s="1199" t="s">
        <v>1075</v>
      </c>
      <c r="I23" s="345" t="s">
        <v>1455</v>
      </c>
      <c r="J23" s="24">
        <f ca="1">ROUND(J13*M23,1)</f>
        <v>0</v>
      </c>
      <c r="K23" s="1795" t="s">
        <v>1456</v>
      </c>
      <c r="L23" s="345" t="s">
        <v>1457</v>
      </c>
      <c r="M23" s="374">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1458</v>
      </c>
      <c r="B24" s="345" t="s">
        <v>1459</v>
      </c>
      <c r="C24" s="24">
        <f ca="1">ROUND(IF('数据-取费表'!B22&lt;=1,F21*F24*F23/2,F21*(POWER((1+F24),F23/2)-1)),4)</f>
        <v>1.5E-3</v>
      </c>
      <c r="D24" s="373" t="str">
        <f>IF(F23&lt;=1,"销售费用×利率×(建设周期÷2)","销售费用×((1+利率)^(建设周期÷2)-1)")</f>
        <v>销售费用×((1+利率)^(建设周期÷2)-1)</v>
      </c>
      <c r="E24" s="345" t="s">
        <v>1460</v>
      </c>
      <c r="F24" s="375">
        <f ca="1">'数据-取费表'!B40</f>
        <v>4.7500000000000001E-2</v>
      </c>
      <c r="G24" s="1851"/>
      <c r="H24" s="1337" t="s">
        <v>1394</v>
      </c>
      <c r="I24" s="1338" t="s">
        <v>1441</v>
      </c>
      <c r="J24" s="1339">
        <f ca="1">ROUND(J5*M24,1)</f>
        <v>0</v>
      </c>
      <c r="K24" s="1340" t="s">
        <v>1461</v>
      </c>
      <c r="L24" s="1338" t="s">
        <v>1457</v>
      </c>
      <c r="M24" s="1334">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1462</v>
      </c>
      <c r="B25" s="345" t="s">
        <v>1463</v>
      </c>
      <c r="C25" s="24"/>
      <c r="D25" s="137" t="s">
        <v>1464</v>
      </c>
      <c r="E25" s="1815"/>
      <c r="F25" s="26"/>
      <c r="G25" s="1848"/>
      <c r="H25" s="1327" t="s">
        <v>1031</v>
      </c>
      <c r="I25" s="1342" t="s">
        <v>1465</v>
      </c>
      <c r="J25" s="353">
        <f ca="1">J5-J16</f>
        <v>-68</v>
      </c>
      <c r="K25" s="1343" t="s">
        <v>1466</v>
      </c>
      <c r="L25" s="1344"/>
      <c r="M25" s="1345"/>
    </row>
    <row r="26" spans="1:37">
      <c r="A26" s="1199" t="s">
        <v>1034</v>
      </c>
      <c r="B26" s="345" t="s">
        <v>1467</v>
      </c>
      <c r="C26" s="24">
        <f ca="1">ROUND((C19+C20)*F26,0)</f>
        <v>57</v>
      </c>
      <c r="D26" s="367" t="s">
        <v>1468</v>
      </c>
      <c r="E26" s="356" t="s">
        <v>1469</v>
      </c>
      <c r="F26" s="355">
        <f ca="1">INDIRECT("'数据-取费表'!q"&amp;$G$1)</f>
        <v>0.03</v>
      </c>
      <c r="G26" s="1848"/>
      <c r="H26" s="342" t="s">
        <v>1032</v>
      </c>
      <c r="I26" s="343" t="s">
        <v>1470</v>
      </c>
      <c r="J26" s="344">
        <f ca="1">IF(J5&lt;&gt;0,ROUND(J25*(1-((1+M28)/(1+M26))^M27)/(M26-M28),0),0)</f>
        <v>0</v>
      </c>
      <c r="K26" s="368" t="s">
        <v>1471</v>
      </c>
      <c r="L26" s="345" t="s">
        <v>1472</v>
      </c>
      <c r="M26" s="355">
        <f ca="1">INDIRECT("'数据-取费表'!I"&amp;$G$1)</f>
        <v>4.4999999999999998E-2</v>
      </c>
    </row>
    <row r="27" spans="1:37" ht="18" customHeight="1">
      <c r="A27" s="1199" t="s">
        <v>1036</v>
      </c>
      <c r="B27" s="345" t="s">
        <v>1473</v>
      </c>
      <c r="C27" s="24">
        <f ca="1">ROUND(F21*F26,4)</f>
        <v>8.0000000000000004E-4</v>
      </c>
      <c r="D27" s="367" t="s">
        <v>1474</v>
      </c>
      <c r="E27" s="363"/>
      <c r="F27" s="364"/>
      <c r="G27" s="1848"/>
      <c r="H27" s="347"/>
      <c r="I27" s="348"/>
      <c r="J27" s="349"/>
      <c r="K27" s="376" t="s">
        <v>1475</v>
      </c>
      <c r="L27" s="345" t="s">
        <v>1476</v>
      </c>
      <c r="M27" s="377">
        <f ca="1">INDIRECT("'数据-取费表'!ag"&amp;$G$1)</f>
        <v>0</v>
      </c>
    </row>
    <row r="28" spans="1:37" s="1855" customFormat="1" ht="18" customHeight="1">
      <c r="A28" s="1199" t="s">
        <v>1037</v>
      </c>
      <c r="B28" s="345" t="s">
        <v>1477</v>
      </c>
      <c r="C28" s="24">
        <f>ROUND(F28/(1+'数据-取费表'!C42),4)</f>
        <v>5.33E-2</v>
      </c>
      <c r="D28" s="367" t="s">
        <v>1478</v>
      </c>
      <c r="E28" s="345" t="s">
        <v>1424</v>
      </c>
      <c r="F28" s="365">
        <f>'数据-取费表'!B41</f>
        <v>5.6000000000000001E-2</v>
      </c>
      <c r="G28" s="1851"/>
      <c r="H28" s="351"/>
      <c r="I28" s="352"/>
      <c r="J28" s="353"/>
      <c r="K28" s="371"/>
      <c r="L28" s="345" t="s">
        <v>1479</v>
      </c>
      <c r="M28" s="355">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1480</v>
      </c>
      <c r="C29" s="1339">
        <f ca="1">ROUND((C19+C20+C23+C26)/(1-F21-C24-C27-C28),0)</f>
        <v>2270</v>
      </c>
      <c r="D29" s="1340"/>
      <c r="E29" s="1338"/>
      <c r="F29" s="1341"/>
      <c r="G29" s="1851"/>
      <c r="H29" s="378" t="s">
        <v>1033</v>
      </c>
      <c r="I29" s="379" t="s">
        <v>1481</v>
      </c>
      <c r="J29" s="380">
        <f ca="1">ROUND(J26/(1+F40)^F41,0)</f>
        <v>0</v>
      </c>
      <c r="K29" s="381" t="s">
        <v>1482</v>
      </c>
      <c r="L29" s="382"/>
      <c r="M29" s="383">
        <f ca="1">INDIRECT("'数据-取费表'!k"&amp;$G$1)</f>
        <v>7513.65</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1426</v>
      </c>
      <c r="C30" s="353">
        <f ca="1">ROUND(C31+C36+C37+C38,0)</f>
        <v>86</v>
      </c>
      <c r="D30" s="1335" t="s">
        <v>1427</v>
      </c>
      <c r="E30" s="1336"/>
      <c r="F30" s="1292"/>
      <c r="G30" s="1848"/>
      <c r="H30" s="742"/>
      <c r="I30" s="743"/>
      <c r="J30" s="744"/>
      <c r="K30" s="745"/>
      <c r="L30" s="746"/>
      <c r="M30" s="747"/>
    </row>
    <row r="31" spans="1:37" ht="18" customHeight="1">
      <c r="A31" s="1199" t="s">
        <v>1035</v>
      </c>
      <c r="B31" s="345" t="s">
        <v>1431</v>
      </c>
      <c r="C31" s="24">
        <f ca="1">ROUND(IF(项目基本情况!B11="自然人",C5*F31,C32+C33+C34),1)</f>
        <v>32.200000000000003</v>
      </c>
      <c r="D31" s="1797" t="s">
        <v>1432</v>
      </c>
      <c r="E31" s="1795" t="s">
        <v>1483</v>
      </c>
      <c r="F31" s="366" t="str">
        <f ca="1">IF(项目基本情况!B11="企业","",IF(INDIRECT("'数据-取费表'!c"&amp;$G$1)="住宅",5%,IF(F6*F7*F8/12/(1+'数据-取费表'!C42)&gt;20000,12%,7%)))</f>
        <v/>
      </c>
      <c r="G31" s="1848"/>
      <c r="H31" s="742"/>
      <c r="I31" s="743"/>
      <c r="J31" s="744"/>
      <c r="K31" s="745"/>
      <c r="L31" s="746"/>
      <c r="M31" s="747"/>
    </row>
    <row r="32" spans="1:37" ht="18" customHeight="1">
      <c r="A32" s="1199" t="s">
        <v>1034</v>
      </c>
      <c r="B32" s="345" t="s">
        <v>1435</v>
      </c>
      <c r="C32" s="24">
        <f ca="1">IF(项目基本情况!B11="自然人","——",ROUND(C5*F32/(1+'数据-取费表'!C42),2))</f>
        <v>9.2799999999999994</v>
      </c>
      <c r="D32" s="1795" t="s">
        <v>1436</v>
      </c>
      <c r="E32" s="345" t="s">
        <v>1424</v>
      </c>
      <c r="F32" s="375">
        <f>'数据-取费表'!B41</f>
        <v>5.6000000000000001E-2</v>
      </c>
      <c r="G32" s="1848"/>
      <c r="H32" s="742"/>
      <c r="I32" s="743"/>
      <c r="J32" s="744"/>
      <c r="K32" s="745"/>
      <c r="L32" s="746"/>
      <c r="M32" s="747"/>
    </row>
    <row r="33" spans="1:18" ht="18" customHeight="1">
      <c r="A33" s="1199" t="s">
        <v>1036</v>
      </c>
      <c r="B33" s="345" t="s">
        <v>1439</v>
      </c>
      <c r="C33" s="24">
        <f ca="1">IF(项目基本情况!B11="自然人","——",IF(D33="按租金收入计税",ROUND(C5*F33,2),IF(D33="按房产原值计税",ROUND(C29*F33*0.7,2),INDIRECT("'数据-取费表'!Aj"&amp;$G$1))))</f>
        <v>19.07</v>
      </c>
      <c r="D33" s="1825" t="s">
        <v>1440</v>
      </c>
      <c r="E33" s="345" t="s">
        <v>1424</v>
      </c>
      <c r="F33" s="365">
        <f>IF(D33="按票据","——",IF(D33="按租金收入计税",'数据-取费表'!B51,'数据-取费表'!B50))</f>
        <v>1.2E-2</v>
      </c>
      <c r="G33" s="1848"/>
      <c r="H33" s="1856"/>
      <c r="I33" s="1857"/>
      <c r="J33" s="1858"/>
      <c r="K33" s="1859"/>
      <c r="L33" s="1856"/>
      <c r="M33" s="1856"/>
    </row>
    <row r="34" spans="1:18" ht="18" customHeight="1">
      <c r="A34" s="1289" t="s">
        <v>1390</v>
      </c>
      <c r="B34" s="162" t="s">
        <v>1443</v>
      </c>
      <c r="C34" s="25">
        <f ca="1">IF(项目基本情况!B11="自然人","——",ROUND(F34*F35/10000,2))</f>
        <v>3.81</v>
      </c>
      <c r="D34" s="368" t="s">
        <v>1444</v>
      </c>
      <c r="E34" s="345" t="s">
        <v>1445</v>
      </c>
      <c r="F34" s="369">
        <f>'数据-取费表'!B52</f>
        <v>16</v>
      </c>
      <c r="G34" s="1848"/>
      <c r="H34" s="742"/>
      <c r="I34" s="1857"/>
      <c r="J34" s="1858"/>
      <c r="K34" s="1860"/>
      <c r="L34" s="1861"/>
      <c r="M34" s="1861"/>
    </row>
    <row r="35" spans="1:18" ht="18" customHeight="1">
      <c r="A35" s="1351"/>
      <c r="B35" s="1349"/>
      <c r="C35" s="29"/>
      <c r="D35" s="371"/>
      <c r="E35" s="345" t="s">
        <v>1449</v>
      </c>
      <c r="F35" s="346">
        <f ca="1">INDIRECT("'数据-取费表'!r"&amp;$G$1)</f>
        <v>2378.67</v>
      </c>
      <c r="G35" s="1848"/>
      <c r="H35" s="742"/>
      <c r="I35" s="1857"/>
      <c r="J35" s="1858"/>
      <c r="K35" s="1859"/>
      <c r="L35" s="1856"/>
      <c r="M35" s="1856"/>
    </row>
    <row r="36" spans="1:18" ht="18" customHeight="1">
      <c r="A36" s="1350" t="s">
        <v>1039</v>
      </c>
      <c r="B36" s="345" t="s">
        <v>1451</v>
      </c>
      <c r="C36" s="24">
        <f ca="1">ROUND(C29*F36,1)</f>
        <v>45.4</v>
      </c>
      <c r="D36" s="1795" t="s">
        <v>1484</v>
      </c>
      <c r="E36" s="345" t="s">
        <v>1424</v>
      </c>
      <c r="F36" s="372">
        <f ca="1">INDIRECT("'数据-取费表'!Ak"&amp;$G$1)</f>
        <v>0.02</v>
      </c>
      <c r="G36" s="1848"/>
      <c r="H36" s="1856"/>
      <c r="I36" s="1857"/>
      <c r="J36" s="1858"/>
      <c r="K36" s="748"/>
      <c r="L36" s="1856"/>
      <c r="M36" s="1856"/>
    </row>
    <row r="37" spans="1:18" ht="18" customHeight="1">
      <c r="A37" s="1199" t="s">
        <v>1075</v>
      </c>
      <c r="B37" s="345" t="s">
        <v>1455</v>
      </c>
      <c r="C37" s="24">
        <f ca="1">ROUND(C13*F37,1)</f>
        <v>4.5</v>
      </c>
      <c r="D37" s="1795" t="s">
        <v>1456</v>
      </c>
      <c r="E37" s="345" t="s">
        <v>1457</v>
      </c>
      <c r="F37" s="374">
        <f ca="1">INDIRECT("'数据-取费表'!Al"&amp;$G$1)</f>
        <v>2E-3</v>
      </c>
      <c r="G37" s="1848"/>
      <c r="H37" s="1856"/>
      <c r="I37" s="1857"/>
      <c r="J37" s="1858"/>
      <c r="K37" s="748"/>
      <c r="L37" s="1856"/>
      <c r="M37" s="1856"/>
    </row>
    <row r="38" spans="1:18" ht="18" customHeight="1" thickBot="1">
      <c r="A38" s="1337" t="s">
        <v>1394</v>
      </c>
      <c r="B38" s="1338" t="s">
        <v>1441</v>
      </c>
      <c r="C38" s="1339">
        <f ca="1">ROUND(C5*F38,1)</f>
        <v>3.5</v>
      </c>
      <c r="D38" s="1340" t="s">
        <v>1461</v>
      </c>
      <c r="E38" s="1338" t="s">
        <v>1457</v>
      </c>
      <c r="F38" s="1334">
        <f ca="1">INDIRECT("'数据-取费表'!Am"&amp;$G$1)</f>
        <v>0.02</v>
      </c>
      <c r="G38" s="1848"/>
      <c r="H38" s="1856"/>
      <c r="I38" s="1857"/>
      <c r="J38" s="1858"/>
      <c r="K38" s="1862"/>
      <c r="L38" s="1856"/>
      <c r="M38" s="1856"/>
    </row>
    <row r="39" spans="1:18" ht="24.6" customHeight="1" thickTop="1">
      <c r="A39" s="1327" t="s">
        <v>1031</v>
      </c>
      <c r="B39" s="1342" t="s">
        <v>1485</v>
      </c>
      <c r="C39" s="353">
        <f ca="1">C5-C30</f>
        <v>88</v>
      </c>
      <c r="D39" s="1343" t="s">
        <v>1486</v>
      </c>
      <c r="E39" s="1344"/>
      <c r="F39" s="1345"/>
      <c r="G39" s="1848"/>
      <c r="H39" s="1856"/>
      <c r="I39" s="1857"/>
      <c r="J39" s="1858"/>
      <c r="K39" s="1862"/>
      <c r="L39" s="1856"/>
      <c r="M39" s="1856"/>
    </row>
    <row r="40" spans="1:18" ht="18" customHeight="1">
      <c r="A40" s="342" t="s">
        <v>1032</v>
      </c>
      <c r="B40" s="343" t="s">
        <v>1487</v>
      </c>
      <c r="C40" s="344">
        <f ca="1">ROUND(C39*(1-((1+F42)/(1+F40))^F41)/(F40-F42),0)</f>
        <v>2066</v>
      </c>
      <c r="D40" s="368" t="s">
        <v>1471</v>
      </c>
      <c r="E40" s="345" t="s">
        <v>1472</v>
      </c>
      <c r="F40" s="355">
        <f ca="1">INDIRECT("'数据-取费表'!I"&amp;$G$1)</f>
        <v>4.4999999999999998E-2</v>
      </c>
      <c r="G40" s="1848"/>
      <c r="H40" s="1836"/>
      <c r="I40" s="1857"/>
      <c r="J40" s="1858"/>
      <c r="K40" s="1862"/>
      <c r="L40" s="1836"/>
      <c r="M40" s="1836"/>
    </row>
    <row r="41" spans="1:18" ht="18" customHeight="1">
      <c r="A41" s="347"/>
      <c r="B41" s="348"/>
      <c r="C41" s="349"/>
      <c r="D41" s="376" t="s">
        <v>1488</v>
      </c>
      <c r="E41" s="345" t="s">
        <v>1476</v>
      </c>
      <c r="F41" s="377">
        <f ca="1">IF(INDIRECT("'数据-取费表'!af"&amp;$G$1)=0,INDIRECT("'数据-取费表'!ae"&amp;$G$1),INDIRECT("'数据-取费表'!af"&amp;$G$1))</f>
        <v>36.510000000000005</v>
      </c>
      <c r="G41" s="1848"/>
      <c r="H41" s="729"/>
      <c r="I41" s="1857"/>
      <c r="J41" s="1858"/>
      <c r="K41" s="748"/>
      <c r="L41" s="729"/>
      <c r="M41" s="729"/>
    </row>
    <row r="42" spans="1:18" ht="18" customHeight="1">
      <c r="A42" s="351"/>
      <c r="B42" s="352"/>
      <c r="C42" s="353"/>
      <c r="D42" s="371"/>
      <c r="E42" s="345" t="s">
        <v>1479</v>
      </c>
      <c r="F42" s="355">
        <f ca="1">INDIRECT("'数据-取费表'!v"&amp;$G$1)</f>
        <v>0.02</v>
      </c>
      <c r="G42" s="1848"/>
      <c r="H42" s="729"/>
      <c r="I42" s="1857"/>
      <c r="J42" s="1858"/>
      <c r="K42" s="748"/>
      <c r="L42" s="729"/>
      <c r="M42" s="729"/>
    </row>
    <row r="43" spans="1:18" ht="18" customHeight="1" thickBot="1">
      <c r="A43" s="378" t="s">
        <v>1033</v>
      </c>
      <c r="B43" s="379" t="s">
        <v>1489</v>
      </c>
      <c r="C43" s="380">
        <f ca="1">ROUND(C40*10000/F43,0)</f>
        <v>2750</v>
      </c>
      <c r="D43" s="381" t="s">
        <v>1490</v>
      </c>
      <c r="E43" s="382" t="s">
        <v>1491</v>
      </c>
      <c r="F43" s="383">
        <f ca="1">INDIRECT("'数据-取费表'!k"&amp;$G$1)</f>
        <v>7513.65</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3"/>
      <c r="O45" s="1866" t="s">
        <v>1521</v>
      </c>
      <c r="P45" s="1836"/>
      <c r="Q45" s="1836"/>
      <c r="R45" s="1836"/>
    </row>
    <row r="46" spans="1:18" s="1839" customFormat="1" ht="13.5" thickBot="1">
      <c r="A46" s="1867" t="s">
        <v>1522</v>
      </c>
      <c r="C46" s="1868">
        <f ca="1">C68-C40</f>
        <v>-3363</v>
      </c>
      <c r="D46" s="1869" t="str">
        <f>C2</f>
        <v>万元</v>
      </c>
      <c r="E46" s="1863"/>
      <c r="F46" s="1863"/>
      <c r="I46" s="1870" t="s">
        <v>1523</v>
      </c>
      <c r="J46" s="1871"/>
      <c r="K46" s="1872"/>
      <c r="L46" s="1873" t="str">
        <f ca="1">IF(M47="住宅",0,IF(L48&gt;J51,L60,J60))</f>
        <v>0</v>
      </c>
      <c r="O46" s="1874" t="s">
        <v>1524</v>
      </c>
      <c r="P46" s="1875" t="s">
        <v>1525</v>
      </c>
      <c r="Q46" s="1876" t="s">
        <v>1526</v>
      </c>
      <c r="R46" s="1876" t="s">
        <v>1527</v>
      </c>
    </row>
    <row r="47" spans="1:18" s="1839" customFormat="1" ht="13.5" thickBot="1">
      <c r="A47" s="1163" t="s">
        <v>1397</v>
      </c>
      <c r="B47" s="1195" t="s">
        <v>1398</v>
      </c>
      <c r="C47" s="1365" t="s">
        <v>1399</v>
      </c>
      <c r="D47" s="1195" t="s">
        <v>1400</v>
      </c>
      <c r="E47" s="1277" t="s">
        <v>1401</v>
      </c>
      <c r="F47" s="1278"/>
      <c r="G47" s="789"/>
      <c r="I47" s="1877" t="s">
        <v>1528</v>
      </c>
      <c r="J47" s="1878" t="s">
        <v>3134</v>
      </c>
      <c r="K47" s="1879" t="s">
        <v>1529</v>
      </c>
      <c r="L47" s="1880">
        <f ca="1">INDIRECT("'数据-取费表'!d"&amp;$G$1)</f>
        <v>40</v>
      </c>
      <c r="M47" s="1835" t="str">
        <f>IF(ISNUMBER(FIND("住宅",C1)),"住宅","非住宅")</f>
        <v>非住宅</v>
      </c>
      <c r="O47" s="1881" t="s">
        <v>1040</v>
      </c>
      <c r="P47" s="1882" t="s">
        <v>1530</v>
      </c>
      <c r="Q47" s="1883">
        <f ca="1">C40+J29</f>
        <v>2066</v>
      </c>
      <c r="R47" s="1883" t="s">
        <v>1531</v>
      </c>
    </row>
    <row r="48" spans="1:18" s="1839" customFormat="1" ht="28.5" thickBot="1">
      <c r="A48" s="1358" t="s">
        <v>1135</v>
      </c>
      <c r="B48" s="343" t="s">
        <v>1402</v>
      </c>
      <c r="C48" s="1814">
        <f ca="1">C49+C53+C55</f>
        <v>0</v>
      </c>
      <c r="D48" s="1360"/>
      <c r="E48" s="1361"/>
      <c r="F48" s="1179"/>
      <c r="G48" s="789"/>
      <c r="H48" s="790"/>
      <c r="I48" s="1884" t="s">
        <v>1532</v>
      </c>
      <c r="J48" s="1885" t="s">
        <v>3135</v>
      </c>
      <c r="K48" s="1886" t="s">
        <v>1533</v>
      </c>
      <c r="L48" s="1887">
        <f ca="1">INDIRECT("'数据-取费表'!f"&amp;$G$1)</f>
        <v>37.81</v>
      </c>
      <c r="O48" s="1881" t="s">
        <v>1041</v>
      </c>
      <c r="P48" s="1882" t="s">
        <v>1534</v>
      </c>
      <c r="Q48" s="1883" t="str">
        <f ca="1">J60</f>
        <v>0</v>
      </c>
      <c r="R48" s="1883" t="s">
        <v>1535</v>
      </c>
    </row>
    <row r="49" spans="1:18" s="1839" customFormat="1" ht="13.5" thickBot="1">
      <c r="A49" s="1192" t="s">
        <v>1136</v>
      </c>
      <c r="B49" s="1826" t="s">
        <v>1492</v>
      </c>
      <c r="C49" s="1362">
        <f ca="1">ROUND(F49*F51*F50*(1-F52)/10000,0)</f>
        <v>0</v>
      </c>
      <c r="D49" s="1274" t="s">
        <v>3042</v>
      </c>
      <c r="E49" s="1827" t="s">
        <v>1493</v>
      </c>
      <c r="F49" s="1279"/>
      <c r="G49" s="1888"/>
      <c r="H49" s="790"/>
      <c r="I49" s="1884" t="s">
        <v>1536</v>
      </c>
      <c r="J49" s="1889">
        <v>2019</v>
      </c>
      <c r="K49" s="1886" t="s">
        <v>1537</v>
      </c>
      <c r="L49" s="1890"/>
      <c r="O49" s="1891" t="s">
        <v>1042</v>
      </c>
      <c r="P49" s="1882" t="s">
        <v>1538</v>
      </c>
      <c r="Q49" s="1883">
        <f ca="1">C29</f>
        <v>2270</v>
      </c>
      <c r="R49" s="1883" t="s">
        <v>1531</v>
      </c>
    </row>
    <row r="50" spans="1:18" s="1839" customFormat="1" ht="13.5" thickBot="1">
      <c r="A50" s="1193"/>
      <c r="B50" s="1196"/>
      <c r="C50" s="1366"/>
      <c r="D50" s="1170"/>
      <c r="E50" s="1275" t="s">
        <v>1407</v>
      </c>
      <c r="F50" s="1276">
        <f ca="1">F7</f>
        <v>268</v>
      </c>
      <c r="H50" s="790"/>
      <c r="I50" s="1884" t="s">
        <v>1539</v>
      </c>
      <c r="J50" s="1892">
        <f>SUMPRODUCT((I63:I65=J47)*(J62:L62=J48)*(J63:L65))</f>
        <v>60</v>
      </c>
      <c r="K50" s="1886" t="s">
        <v>1540</v>
      </c>
      <c r="L50" s="1890"/>
      <c r="M50" s="1893"/>
      <c r="O50" s="1891" t="s">
        <v>1043</v>
      </c>
      <c r="P50" s="1882" t="s">
        <v>1541</v>
      </c>
      <c r="Q50" s="1894" t="e">
        <f ca="1">J58</f>
        <v>#VALUE!</v>
      </c>
      <c r="R50" s="1883"/>
    </row>
    <row r="51" spans="1:18" s="1839" customFormat="1" ht="13.5" thickBot="1">
      <c r="A51" s="1194"/>
      <c r="B51" s="1196"/>
      <c r="C51" s="1197"/>
      <c r="D51" s="1170"/>
      <c r="E51" s="1198" t="s">
        <v>1408</v>
      </c>
      <c r="F51" s="346">
        <f ca="1">F8</f>
        <v>12</v>
      </c>
      <c r="I51" s="1895" t="s">
        <v>1542</v>
      </c>
      <c r="J51" s="1896">
        <f>IF(J49="",J50,J49+J50-YEAR('数据-取费表'!B2))</f>
        <v>62</v>
      </c>
      <c r="K51" s="1897" t="s">
        <v>1543</v>
      </c>
      <c r="L51" s="1898">
        <f ca="1">ROUND(-PV(INDIRECT("'数据-取费表'!h"&amp;$G$1),L48,(C39-C13*C76),0),0)</f>
        <v>-2028</v>
      </c>
      <c r="M51" s="1899"/>
      <c r="O51" s="1891" t="s">
        <v>1044</v>
      </c>
      <c r="P51" s="1882" t="s">
        <v>1544</v>
      </c>
      <c r="Q51" s="1894">
        <f>J52</f>
        <v>0.09</v>
      </c>
      <c r="R51" s="1883"/>
    </row>
    <row r="52" spans="1:18" s="1839" customFormat="1" ht="13.5" thickBot="1">
      <c r="A52" s="1194"/>
      <c r="B52" s="1196"/>
      <c r="C52" s="1197"/>
      <c r="D52" s="1170"/>
      <c r="E52" s="1198" t="s">
        <v>1409</v>
      </c>
      <c r="F52" s="1273"/>
      <c r="I52" s="1900" t="s">
        <v>1545</v>
      </c>
      <c r="J52" s="1901">
        <v>0.09</v>
      </c>
      <c r="K52" s="1900" t="s">
        <v>1546</v>
      </c>
      <c r="L52" s="1901"/>
      <c r="O52" s="1891" t="s">
        <v>1045</v>
      </c>
      <c r="P52" s="1882" t="s">
        <v>1547</v>
      </c>
      <c r="Q52" s="1883">
        <f ca="1">J53</f>
        <v>36.510000000000005</v>
      </c>
      <c r="R52" s="1883" t="s">
        <v>1548</v>
      </c>
    </row>
    <row r="53" spans="1:18" s="1839" customFormat="1" ht="24.75" thickBot="1">
      <c r="A53" s="1402" t="s">
        <v>1137</v>
      </c>
      <c r="B53" s="1828" t="s">
        <v>1410</v>
      </c>
      <c r="C53" s="359">
        <f ca="1">ROUND(IF(F53="押一",F49*F51*F50/12*F11,IF(F53="押二",F49*F51*F50/12*2*F11,IF(F53="押三",F49*F51*F50/12*3*F11,C54*F11)))/10000,0)</f>
        <v>0</v>
      </c>
      <c r="D53" s="1821" t="s">
        <v>3040</v>
      </c>
      <c r="E53" s="356" t="s">
        <v>1412</v>
      </c>
      <c r="F53" s="1364"/>
      <c r="I53" s="1902" t="s">
        <v>1549</v>
      </c>
      <c r="J53" s="1903">
        <f ca="1">IF(M47="住宅",J51,IF(D1="——",MIN(J51,L48),IF(D1="在建（套用方法）",MIN(J51,L48-'数据-取费表'!B24),IF(D1="土地（套用方法）",MIN(J51,L48-'数据-取费表'!B20)))))</f>
        <v>36.510000000000005</v>
      </c>
      <c r="K53" s="3229" t="s">
        <v>1550</v>
      </c>
      <c r="L53" s="3230"/>
      <c r="O53" s="1881" t="s">
        <v>1046</v>
      </c>
      <c r="P53" s="1882" t="s">
        <v>1551</v>
      </c>
      <c r="Q53" s="1883">
        <f ca="1">Q47+Q48</f>
        <v>2066</v>
      </c>
      <c r="R53" s="1883" t="s">
        <v>1047</v>
      </c>
    </row>
    <row r="54" spans="1:18" s="1839" customFormat="1" ht="13.5" thickBot="1">
      <c r="A54" s="1403"/>
      <c r="B54" s="1822" t="s">
        <v>1389</v>
      </c>
      <c r="C54" s="1176"/>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1552</v>
      </c>
      <c r="P54" s="1836"/>
      <c r="Q54" s="1836"/>
      <c r="R54" s="1836"/>
    </row>
    <row r="55" spans="1:18" s="1839" customFormat="1" ht="13.5" thickBot="1">
      <c r="A55" s="1331" t="s">
        <v>1075</v>
      </c>
      <c r="B55" s="1824" t="s">
        <v>1415</v>
      </c>
      <c r="C55" s="1332"/>
      <c r="D55" s="1821"/>
      <c r="E55" s="1829"/>
      <c r="F55" s="1904"/>
      <c r="I55" s="1907" t="s">
        <v>1553</v>
      </c>
      <c r="J55" s="1908" t="e">
        <f ca="1">ROUND(IF(J47="钢混",J57/J50,1-(1-2%)*(J50-J57)/J50),3)</f>
        <v>#VALUE!</v>
      </c>
      <c r="K55" s="1909" t="s">
        <v>1554</v>
      </c>
      <c r="L55" s="1910" t="s">
        <v>1555</v>
      </c>
      <c r="O55" s="1874" t="s">
        <v>1524</v>
      </c>
      <c r="P55" s="1875" t="s">
        <v>1525</v>
      </c>
      <c r="Q55" s="1876" t="s">
        <v>1526</v>
      </c>
      <c r="R55" s="1876" t="s">
        <v>1527</v>
      </c>
    </row>
    <row r="56" spans="1:18" s="1839" customFormat="1" ht="25.5" thickTop="1" thickBot="1">
      <c r="A56" s="1174">
        <v>2</v>
      </c>
      <c r="B56" s="1175" t="s">
        <v>1416</v>
      </c>
      <c r="C56" s="274">
        <f ca="1">C13</f>
        <v>2270</v>
      </c>
      <c r="D56" s="1911"/>
      <c r="E56" s="1912"/>
      <c r="F56" s="1904"/>
      <c r="I56" s="1913" t="s">
        <v>1556</v>
      </c>
      <c r="J56" s="1914" t="s">
        <v>3082</v>
      </c>
      <c r="K56" s="1884" t="s">
        <v>1557</v>
      </c>
      <c r="L56" s="1887" t="str">
        <f ca="1">IF(L48&lt;J51,"——",L48-J53)</f>
        <v>——</v>
      </c>
      <c r="O56" s="1881" t="s">
        <v>1040</v>
      </c>
      <c r="P56" s="1882" t="s">
        <v>1530</v>
      </c>
      <c r="Q56" s="1883">
        <f ca="1">C40+J29</f>
        <v>2066</v>
      </c>
      <c r="R56" s="1883" t="s">
        <v>1531</v>
      </c>
    </row>
    <row r="57" spans="1:18" s="1839" customFormat="1" ht="24.75" thickBot="1">
      <c r="A57" s="1915"/>
      <c r="B57" s="1167" t="s">
        <v>1480</v>
      </c>
      <c r="C57" s="280">
        <f ca="1">C29</f>
        <v>2270</v>
      </c>
      <c r="D57" s="1916"/>
      <c r="E57" s="1917"/>
      <c r="F57" s="1918"/>
      <c r="I57" s="1919" t="s">
        <v>1558</v>
      </c>
      <c r="J57" s="1920" t="str">
        <f ca="1">IF(OR(M47="住宅",J51&lt;L48,J56="是"),"——",J51-L48)</f>
        <v>——</v>
      </c>
      <c r="K57" s="1884" t="s">
        <v>1559</v>
      </c>
      <c r="L57" s="1887" t="str">
        <f ca="1">IF(L48&lt;J51,"——",IF(L55="比较法",L49,IF(L55="基准地价",L50,L51)))</f>
        <v>——</v>
      </c>
      <c r="O57" s="1881" t="s">
        <v>1041</v>
      </c>
      <c r="P57" s="1882" t="s">
        <v>1560</v>
      </c>
      <c r="Q57" s="1883">
        <f ca="1">L60</f>
        <v>0</v>
      </c>
      <c r="R57" s="1883" t="s">
        <v>1561</v>
      </c>
    </row>
    <row r="58" spans="1:18" s="1839" customFormat="1" ht="24.75" thickBot="1">
      <c r="A58" s="358" t="s">
        <v>1030</v>
      </c>
      <c r="B58" s="1175" t="s">
        <v>1426</v>
      </c>
      <c r="C58" s="359">
        <f ca="1">ROUND(C59+C64+C65+C66,0)</f>
        <v>73</v>
      </c>
      <c r="D58" s="1177" t="s">
        <v>1427</v>
      </c>
      <c r="E58" s="1178"/>
      <c r="F58" s="1179"/>
      <c r="I58" s="1919" t="s">
        <v>1562</v>
      </c>
      <c r="J58" s="1921" t="e">
        <f ca="1">IF(J55&lt;0.4,0.4,J55)</f>
        <v>#VALUE!</v>
      </c>
      <c r="K58" s="1897" t="s">
        <v>1563</v>
      </c>
      <c r="L58" s="1887" t="e">
        <f ca="1">ROUND(POWER(1+L52,L47-L48)*(POWER(1+L52,L48)-1)/(POWER(1+L52,L47)-1),4)</f>
        <v>#DIV/0!</v>
      </c>
      <c r="O58" s="1891" t="s">
        <v>1042</v>
      </c>
      <c r="P58" s="1882" t="s">
        <v>1564</v>
      </c>
      <c r="Q58" s="1883">
        <f>IF(L55="比较法",L49,IF(L55="基准地价",L50,0))</f>
        <v>0</v>
      </c>
      <c r="R58" s="1883" t="s">
        <v>1531</v>
      </c>
    </row>
    <row r="59" spans="1:18" s="1839" customFormat="1" ht="24.75" thickBot="1">
      <c r="A59" s="1199" t="s">
        <v>1035</v>
      </c>
      <c r="B59" s="1167" t="s">
        <v>1431</v>
      </c>
      <c r="C59" s="24">
        <f ca="1">ROUND(IF(项目基本情况!B11="自然人",C48*F59,C60+C61+C62),1)</f>
        <v>22.9</v>
      </c>
      <c r="D59" s="1180" t="s">
        <v>1432</v>
      </c>
      <c r="E59" s="1181" t="s">
        <v>1433</v>
      </c>
      <c r="F59" s="366" t="str">
        <f ca="1">IF(项目基本情况!B11="企业","",IF(INDIRECT("'数据-取费表'!c"&amp;$G$1)="住宅",5%,IF(F49*F50*F51/12/(1+'数据-取费表'!C42)&gt;20000,12%,7%)))</f>
        <v/>
      </c>
      <c r="I59" s="1919" t="s">
        <v>1565</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1566</v>
      </c>
      <c r="Q59" s="1894">
        <f>L52</f>
        <v>0</v>
      </c>
      <c r="R59" s="1883"/>
    </row>
    <row r="60" spans="1:18" s="1839" customFormat="1" ht="16.5" thickBot="1">
      <c r="A60" s="1199" t="s">
        <v>1034</v>
      </c>
      <c r="B60" s="1167" t="s">
        <v>1435</v>
      </c>
      <c r="C60" s="24">
        <f ca="1">IF(项目基本情况!B11="自然人","——",ROUND(C48*F60/(1+'数据-取费表'!C42),2))</f>
        <v>0</v>
      </c>
      <c r="D60" s="1181" t="s">
        <v>1436</v>
      </c>
      <c r="E60" s="1167" t="s">
        <v>1424</v>
      </c>
      <c r="F60" s="375">
        <f t="shared" ref="F60:F66" si="0">F32</f>
        <v>5.6000000000000001E-2</v>
      </c>
      <c r="I60" s="1922" t="s">
        <v>1567</v>
      </c>
      <c r="J60" s="1923" t="str">
        <f ca="1">IF(OR(M47="住宅",J51&lt;L48,J56="是"),"0",ROUND(J59/(1+J52)^J53,0))</f>
        <v>0</v>
      </c>
      <c r="K60" s="1924" t="s">
        <v>1568</v>
      </c>
      <c r="L60" s="1923">
        <f ca="1">IF(OR(M47="住宅",L48&lt;J51),0,ROUND(L57*(L58/L59-1),0))</f>
        <v>0</v>
      </c>
      <c r="O60" s="1891" t="s">
        <v>1044</v>
      </c>
      <c r="P60" s="1882" t="s">
        <v>1569</v>
      </c>
      <c r="Q60" s="1883" t="e">
        <f ca="1">L58</f>
        <v>#DIV/0!</v>
      </c>
      <c r="R60" s="1883" t="s">
        <v>1570</v>
      </c>
    </row>
    <row r="61" spans="1:18" s="1839" customFormat="1" ht="13.5" thickBot="1">
      <c r="A61" s="1199" t="s">
        <v>1494</v>
      </c>
      <c r="B61" s="1167" t="s">
        <v>1495</v>
      </c>
      <c r="C61" s="24">
        <f ca="1">IF(项目基本情况!B11="自然人","——",IF(D61="按租金收入计税",ROUND(C48*F61,2),IF(D61="按房产原值计税",ROUND(C57*F61*0.7,2),INDIRECT("'数据-取费表'!Aj"&amp;$G$1))))</f>
        <v>19.07</v>
      </c>
      <c r="D61" s="1825" t="s">
        <v>1440</v>
      </c>
      <c r="E61" s="1167" t="s">
        <v>1496</v>
      </c>
      <c r="F61" s="365">
        <f t="shared" si="0"/>
        <v>1.2E-2</v>
      </c>
      <c r="I61" s="1925"/>
      <c r="J61" s="1925"/>
      <c r="K61" s="1925"/>
      <c r="L61" s="1925"/>
      <c r="O61" s="1891" t="s">
        <v>1045</v>
      </c>
      <c r="P61" s="1882" t="str">
        <f>K59</f>
        <v>续建工期及建筑物耐用年限下的土地年期修正系数Kn</v>
      </c>
      <c r="Q61" s="1883" t="e">
        <f ca="1">L59</f>
        <v>#DIV/0!</v>
      </c>
      <c r="R61" s="1883" t="s">
        <v>1571</v>
      </c>
    </row>
    <row r="62" spans="1:18" s="1839" customFormat="1" ht="13.5" thickBot="1">
      <c r="A62" s="1199" t="s">
        <v>1497</v>
      </c>
      <c r="B62" s="1166" t="s">
        <v>1498</v>
      </c>
      <c r="C62" s="25">
        <f ca="1">IF(项目基本情况!B11="自然人","——",ROUND(F62*F63/10000,2))</f>
        <v>3.81</v>
      </c>
      <c r="D62" s="1182" t="s">
        <v>1499</v>
      </c>
      <c r="E62" s="1167" t="s">
        <v>1500</v>
      </c>
      <c r="F62" s="369">
        <f t="shared" si="0"/>
        <v>16</v>
      </c>
      <c r="I62" s="1926" t="s">
        <v>1572</v>
      </c>
      <c r="J62" s="1927" t="s">
        <v>1573</v>
      </c>
      <c r="K62" s="1927" t="s">
        <v>1574</v>
      </c>
      <c r="L62" s="1927" t="s">
        <v>1575</v>
      </c>
      <c r="M62" s="1928" t="s">
        <v>1576</v>
      </c>
      <c r="O62" s="1881" t="s">
        <v>1046</v>
      </c>
      <c r="P62" s="1882" t="s">
        <v>1577</v>
      </c>
      <c r="Q62" s="1883">
        <f ca="1">Q56+Q57</f>
        <v>2066</v>
      </c>
      <c r="R62" s="1883" t="s">
        <v>1047</v>
      </c>
    </row>
    <row r="63" spans="1:18" s="1839" customFormat="1" ht="13.5" thickBot="1">
      <c r="A63" s="370"/>
      <c r="B63" s="1173"/>
      <c r="C63" s="29"/>
      <c r="D63" s="1183"/>
      <c r="E63" s="1167" t="s">
        <v>1501</v>
      </c>
      <c r="F63" s="346">
        <f t="shared" ca="1" si="0"/>
        <v>2378.67</v>
      </c>
      <c r="I63" s="1926" t="s">
        <v>1578</v>
      </c>
      <c r="J63" s="1927">
        <v>70</v>
      </c>
      <c r="K63" s="1927">
        <v>50</v>
      </c>
      <c r="L63" s="1927">
        <v>80</v>
      </c>
      <c r="M63" s="1929">
        <v>0.02</v>
      </c>
      <c r="O63" s="1866" t="s">
        <v>1579</v>
      </c>
      <c r="P63" s="1836"/>
      <c r="Q63" s="1836"/>
      <c r="R63" s="1836"/>
    </row>
    <row r="64" spans="1:18" s="1839" customFormat="1" ht="13.5" thickBot="1">
      <c r="A64" s="1199" t="s">
        <v>1502</v>
      </c>
      <c r="B64" s="1167" t="s">
        <v>1503</v>
      </c>
      <c r="C64" s="24">
        <f ca="1">ROUND(C57*F64,1)</f>
        <v>45.4</v>
      </c>
      <c r="D64" s="1181" t="s">
        <v>1504</v>
      </c>
      <c r="E64" s="1167" t="s">
        <v>1496</v>
      </c>
      <c r="F64" s="372">
        <f t="shared" ca="1" si="0"/>
        <v>0.02</v>
      </c>
      <c r="I64" s="1926" t="s">
        <v>1580</v>
      </c>
      <c r="J64" s="1927">
        <v>50</v>
      </c>
      <c r="K64" s="1927">
        <v>35</v>
      </c>
      <c r="L64" s="1927">
        <v>60</v>
      </c>
      <c r="M64" s="1928">
        <v>0</v>
      </c>
      <c r="O64" s="1874" t="s">
        <v>1524</v>
      </c>
      <c r="P64" s="1875" t="s">
        <v>1525</v>
      </c>
      <c r="Q64" s="1876" t="s">
        <v>1526</v>
      </c>
      <c r="R64" s="1876" t="s">
        <v>1527</v>
      </c>
    </row>
    <row r="65" spans="1:18" s="1839" customFormat="1" ht="13.5" thickBot="1">
      <c r="A65" s="1199" t="s">
        <v>1505</v>
      </c>
      <c r="B65" s="1167" t="s">
        <v>1455</v>
      </c>
      <c r="C65" s="24">
        <f ca="1">ROUND(C56*F65,1)</f>
        <v>4.5</v>
      </c>
      <c r="D65" s="1181" t="s">
        <v>1456</v>
      </c>
      <c r="E65" s="1167" t="s">
        <v>1457</v>
      </c>
      <c r="F65" s="374">
        <f t="shared" ca="1" si="0"/>
        <v>2E-3</v>
      </c>
      <c r="I65" s="1926" t="s">
        <v>1581</v>
      </c>
      <c r="J65" s="1927">
        <v>40</v>
      </c>
      <c r="K65" s="1927">
        <v>30</v>
      </c>
      <c r="L65" s="1927">
        <v>50</v>
      </c>
      <c r="M65" s="1929">
        <v>0.02</v>
      </c>
      <c r="O65" s="1881" t="s">
        <v>1040</v>
      </c>
      <c r="P65" s="1882" t="s">
        <v>1582</v>
      </c>
      <c r="Q65" s="1883">
        <f ca="1">C40+J29</f>
        <v>2066</v>
      </c>
      <c r="R65" s="1883" t="s">
        <v>1531</v>
      </c>
    </row>
    <row r="66" spans="1:18" s="1839" customFormat="1" ht="16.5" thickBot="1">
      <c r="A66" s="1199" t="s">
        <v>1506</v>
      </c>
      <c r="B66" s="1167" t="s">
        <v>1441</v>
      </c>
      <c r="C66" s="24">
        <f ca="1">ROUND(C48*F66,1)</f>
        <v>0</v>
      </c>
      <c r="D66" s="1181" t="s">
        <v>1507</v>
      </c>
      <c r="E66" s="1167" t="s">
        <v>1424</v>
      </c>
      <c r="F66" s="355">
        <f t="shared" ca="1" si="0"/>
        <v>0.02</v>
      </c>
      <c r="O66" s="1881" t="s">
        <v>1041</v>
      </c>
      <c r="P66" s="1882" t="s">
        <v>1560</v>
      </c>
      <c r="Q66" s="1883">
        <f ca="1">L60</f>
        <v>0</v>
      </c>
      <c r="R66" s="1883" t="s">
        <v>1583</v>
      </c>
    </row>
    <row r="67" spans="1:18" s="1839" customFormat="1" ht="16.5" thickBot="1">
      <c r="A67" s="1174" t="s">
        <v>1031</v>
      </c>
      <c r="B67" s="1184" t="s">
        <v>1465</v>
      </c>
      <c r="C67" s="359">
        <f ca="1">C48-C58</f>
        <v>-73</v>
      </c>
      <c r="D67" s="1180" t="s">
        <v>1466</v>
      </c>
      <c r="E67" s="1185"/>
      <c r="F67" s="1186"/>
      <c r="O67" s="1891" t="s">
        <v>1042</v>
      </c>
      <c r="P67" s="1882" t="s">
        <v>1564</v>
      </c>
      <c r="Q67" s="1930">
        <f ca="1">L51</f>
        <v>-2028</v>
      </c>
      <c r="R67" s="1883" t="s">
        <v>1584</v>
      </c>
    </row>
    <row r="68" spans="1:18" s="1839" customFormat="1" ht="16.5" thickBot="1">
      <c r="A68" s="1164" t="s">
        <v>1032</v>
      </c>
      <c r="B68" s="1165" t="s">
        <v>1487</v>
      </c>
      <c r="C68" s="344">
        <f ca="1">ROUND(C67*(1-((1+F70)/(1+F68))^F69)/(F68-F70),0)</f>
        <v>-1297</v>
      </c>
      <c r="D68" s="1182" t="s">
        <v>1471</v>
      </c>
      <c r="E68" s="1167" t="s">
        <v>1472</v>
      </c>
      <c r="F68" s="355">
        <f ca="1">F40</f>
        <v>4.4999999999999998E-2</v>
      </c>
      <c r="O68" s="1891" t="s">
        <v>1043</v>
      </c>
      <c r="P68" s="1931" t="s">
        <v>1585</v>
      </c>
      <c r="Q68" s="1883">
        <f ca="1">ROUND(Q69-Q70*Q71,0)</f>
        <v>-105</v>
      </c>
      <c r="R68" s="1883" t="s">
        <v>1051</v>
      </c>
    </row>
    <row r="69" spans="1:18" s="1839" customFormat="1" ht="13.5" thickBot="1">
      <c r="A69" s="1168"/>
      <c r="B69" s="1169"/>
      <c r="C69" s="349"/>
      <c r="D69" s="1187" t="s">
        <v>1475</v>
      </c>
      <c r="E69" s="1167" t="s">
        <v>1476</v>
      </c>
      <c r="F69" s="377">
        <f ca="1">F41</f>
        <v>36.510000000000005</v>
      </c>
      <c r="O69" s="1891" t="s">
        <v>1048</v>
      </c>
      <c r="P69" s="1931" t="s">
        <v>1586</v>
      </c>
      <c r="Q69" s="1883">
        <f ca="1">C39</f>
        <v>88</v>
      </c>
      <c r="R69" s="1883" t="s">
        <v>1531</v>
      </c>
    </row>
    <row r="70" spans="1:18" s="1839" customFormat="1" ht="13.5" thickBot="1">
      <c r="A70" s="1171"/>
      <c r="B70" s="1172"/>
      <c r="C70" s="353"/>
      <c r="D70" s="1183"/>
      <c r="E70" s="1167" t="s">
        <v>1479</v>
      </c>
      <c r="F70" s="1273"/>
      <c r="O70" s="1891" t="s">
        <v>1049</v>
      </c>
      <c r="P70" s="1931" t="s">
        <v>1587</v>
      </c>
      <c r="Q70" s="1883">
        <f ca="1">C13</f>
        <v>2270</v>
      </c>
      <c r="R70" s="1883" t="s">
        <v>1531</v>
      </c>
    </row>
    <row r="71" spans="1:18" s="1839" customFormat="1" ht="13.5" thickBot="1">
      <c r="A71" s="1188" t="s">
        <v>1033</v>
      </c>
      <c r="B71" s="1189" t="s">
        <v>1489</v>
      </c>
      <c r="C71" s="380">
        <f ca="1">ROUND(C68*10000/F71,0)</f>
        <v>-1726</v>
      </c>
      <c r="D71" s="1190" t="s">
        <v>1490</v>
      </c>
      <c r="E71" s="1191" t="s">
        <v>1491</v>
      </c>
      <c r="F71" s="383">
        <f ca="1">F43</f>
        <v>7513.65</v>
      </c>
      <c r="O71" s="1891" t="s">
        <v>1050</v>
      </c>
      <c r="P71" s="1931" t="s">
        <v>1588</v>
      </c>
      <c r="Q71" s="1894">
        <f ca="1">C76</f>
        <v>8.5000000000000006E-2</v>
      </c>
      <c r="R71" s="1883"/>
    </row>
    <row r="72" spans="1:18" s="1839" customFormat="1" ht="13.5" thickBot="1">
      <c r="B72" s="793"/>
      <c r="C72" s="793"/>
      <c r="O72" s="1891" t="s">
        <v>1044</v>
      </c>
      <c r="P72" s="1882" t="s">
        <v>1566</v>
      </c>
      <c r="Q72" s="1894">
        <f>L52</f>
        <v>0</v>
      </c>
      <c r="R72" s="1883"/>
    </row>
    <row r="73" spans="1:18" ht="16.5" thickBot="1">
      <c r="A73" s="1839"/>
      <c r="B73" s="793"/>
      <c r="C73" s="793"/>
      <c r="D73" s="1839"/>
      <c r="E73" s="1839"/>
      <c r="F73" s="1839"/>
      <c r="O73" s="1891" t="s">
        <v>1045</v>
      </c>
      <c r="P73" s="1882" t="s">
        <v>1569</v>
      </c>
      <c r="Q73" s="1883" t="e">
        <f ca="1">L58</f>
        <v>#DIV/0!</v>
      </c>
      <c r="R73" s="1883" t="s">
        <v>1570</v>
      </c>
    </row>
    <row r="74" spans="1:18" ht="13.5" thickBot="1">
      <c r="A74" s="1839"/>
      <c r="B74" s="315" t="s">
        <v>1589</v>
      </c>
      <c r="C74" s="1933"/>
      <c r="D74" s="1839"/>
      <c r="E74" s="1839"/>
      <c r="F74" s="1839"/>
      <c r="O74" s="1891" t="s">
        <v>1052</v>
      </c>
      <c r="P74" s="1882" t="str">
        <f>K59</f>
        <v>续建工期及建筑物耐用年限下的土地年期修正系数Kn</v>
      </c>
      <c r="Q74" s="1883" t="e">
        <f ca="1">L59</f>
        <v>#DIV/0!</v>
      </c>
      <c r="R74" s="1883" t="s">
        <v>1571</v>
      </c>
    </row>
    <row r="75" spans="1:18" ht="13.5" thickBot="1">
      <c r="A75" s="1839"/>
      <c r="B75" s="384" t="s">
        <v>1508</v>
      </c>
      <c r="C75" s="385">
        <f ca="1">ROUND(C13*C76,0)</f>
        <v>193</v>
      </c>
      <c r="D75" s="1839"/>
      <c r="E75" s="1839"/>
      <c r="F75" s="1839"/>
      <c r="K75" s="1865"/>
      <c r="L75" s="1839"/>
      <c r="O75" s="1881" t="s">
        <v>1046</v>
      </c>
      <c r="P75" s="1882" t="s">
        <v>1551</v>
      </c>
      <c r="Q75" s="1883">
        <f ca="1">Q65+Q66</f>
        <v>2066</v>
      </c>
      <c r="R75" s="1883" t="s">
        <v>1047</v>
      </c>
    </row>
    <row r="76" spans="1:18">
      <c r="B76" s="386" t="s">
        <v>1509</v>
      </c>
      <c r="C76" s="387">
        <f ca="1">INDIRECT("'数据-取费表'!j"&amp;$G$1)</f>
        <v>8.5000000000000006E-2</v>
      </c>
      <c r="I76" s="1839"/>
      <c r="J76" s="1839"/>
      <c r="K76" s="1865"/>
      <c r="L76" s="1839"/>
    </row>
    <row r="77" spans="1:18">
      <c r="B77" s="388" t="s">
        <v>1510</v>
      </c>
      <c r="C77" s="389"/>
      <c r="I77" s="1839"/>
      <c r="J77" s="1839"/>
      <c r="K77" s="1865"/>
      <c r="L77" s="1839"/>
    </row>
    <row r="78" spans="1:18">
      <c r="B78" s="312" t="s">
        <v>1511</v>
      </c>
      <c r="C78" s="390"/>
    </row>
    <row r="79" spans="1:18">
      <c r="B79" s="384" t="s">
        <v>1512</v>
      </c>
      <c r="C79" s="316">
        <f ca="1">1-C80</f>
        <v>-1.1930000000000001</v>
      </c>
    </row>
    <row r="80" spans="1:18">
      <c r="B80" s="384" t="s">
        <v>1513</v>
      </c>
      <c r="C80" s="316">
        <f ca="1">ROUND(C75/C39,3)</f>
        <v>2.1930000000000001</v>
      </c>
    </row>
    <row r="81" spans="2:3">
      <c r="B81" s="312" t="s">
        <v>1514</v>
      </c>
      <c r="C81" s="280"/>
    </row>
    <row r="82" spans="2:3">
      <c r="B82" s="315" t="s">
        <v>1515</v>
      </c>
      <c r="C82" s="317">
        <f ca="1">1-C83</f>
        <v>-9.8999999999999977E-2</v>
      </c>
    </row>
    <row r="83" spans="2:3">
      <c r="B83" s="315" t="s">
        <v>1516</v>
      </c>
      <c r="C83" s="316">
        <f ca="1">ROUND(C13/C40,3)</f>
        <v>1.099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4" zoomScale="90" zoomScaleNormal="90" workbookViewId="0">
      <selection activeCell="I2" sqref="I2"/>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6"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2531</v>
      </c>
      <c r="B1" s="2576" t="s">
        <v>2532</v>
      </c>
      <c r="C1" s="1631" t="s">
        <v>2533</v>
      </c>
      <c r="D1" s="1618" t="s">
        <v>3103</v>
      </c>
      <c r="E1" s="2577"/>
      <c r="F1" s="2578" t="s">
        <v>2534</v>
      </c>
      <c r="G1" s="1628" t="s">
        <v>2535</v>
      </c>
      <c r="H1" s="1627"/>
      <c r="I1" s="1627"/>
      <c r="J1" s="1627"/>
      <c r="K1" s="1629"/>
      <c r="L1" s="1630"/>
      <c r="M1" s="1631"/>
      <c r="N1" s="1631"/>
      <c r="O1" s="1631"/>
      <c r="P1" s="2579"/>
      <c r="Q1" s="1617"/>
      <c r="R1" s="1617"/>
      <c r="S1" s="1617"/>
      <c r="T1" s="1617"/>
      <c r="U1" s="1617"/>
      <c r="V1" s="1617"/>
      <c r="W1" s="1617"/>
      <c r="X1" s="1617"/>
      <c r="Y1" s="1617"/>
      <c r="Z1" s="1617"/>
      <c r="AA1" s="1617"/>
      <c r="AB1" s="1617"/>
      <c r="AC1" s="1625"/>
    </row>
    <row r="2" spans="1:29" s="391" customFormat="1" ht="28.5" customHeight="1" thickTop="1">
      <c r="A2" s="1614" t="s">
        <v>1395</v>
      </c>
      <c r="B2" s="1415">
        <f>IF(C2="——",ROUND(C49*D3/10000,0),ROUND(C49*D3/10000,0)-D2)</f>
        <v>82605</v>
      </c>
      <c r="C2" s="2580" t="s">
        <v>70</v>
      </c>
      <c r="D2" s="1363" t="e">
        <f ca="1">SUMIF(INDIRECT("'"&amp;F2&amp;"'"&amp;"!A:A"),"承租人权益价值",INDIRECT("'"&amp;F2&amp;"'"&amp;"!c:c"))</f>
        <v>#REF!</v>
      </c>
      <c r="E2" s="2581" t="s">
        <v>2334</v>
      </c>
      <c r="F2" s="2582"/>
      <c r="G2" s="1122"/>
      <c r="H2" s="1122"/>
      <c r="I2" s="1122"/>
      <c r="J2" s="1122"/>
      <c r="K2" s="2583"/>
      <c r="L2" s="2584"/>
      <c r="M2" s="2585"/>
      <c r="N2" s="2585"/>
      <c r="O2" s="2585"/>
      <c r="P2" s="2586"/>
      <c r="Q2" s="2587"/>
      <c r="R2" s="2587"/>
      <c r="S2" s="2587"/>
      <c r="T2" s="2587"/>
      <c r="U2" s="2587"/>
      <c r="V2" s="2587"/>
      <c r="W2" s="2587"/>
      <c r="X2" s="2587"/>
      <c r="Y2" s="2587"/>
      <c r="Z2" s="2587"/>
      <c r="AA2" s="2587"/>
      <c r="AB2" s="2587"/>
      <c r="AC2" s="2588"/>
    </row>
    <row r="3" spans="1:29" s="391" customFormat="1" ht="28.5" customHeight="1" thickBot="1">
      <c r="A3" s="245" t="s">
        <v>1396</v>
      </c>
      <c r="B3" s="397">
        <f>IF(C2="——",C49,ROUND(B2*10000/D3,0))</f>
        <v>25097</v>
      </c>
      <c r="C3" s="398" t="s">
        <v>2537</v>
      </c>
      <c r="D3" s="397">
        <f>IF(D1="",'数据-汇总表'!E3,SUMIF('数据-汇总表'!$C19:$C33,D1,'数据-汇总表'!$E19:$E33))</f>
        <v>32914.340000000004</v>
      </c>
      <c r="E3" s="1122"/>
      <c r="F3" s="2589"/>
      <c r="G3" s="1122"/>
      <c r="H3" s="1122"/>
      <c r="I3" s="1122"/>
      <c r="J3" s="1122"/>
      <c r="K3" s="2583"/>
      <c r="L3" s="2584"/>
      <c r="M3" s="2585"/>
      <c r="N3" s="2585"/>
      <c r="O3" s="2585"/>
      <c r="P3" s="2586"/>
      <c r="Q3" s="2587"/>
      <c r="R3" s="2587"/>
      <c r="S3" s="2587"/>
      <c r="T3" s="2587"/>
      <c r="U3" s="2587"/>
      <c r="V3" s="2587"/>
      <c r="W3" s="2587"/>
      <c r="X3" s="2587"/>
      <c r="Y3" s="2587"/>
      <c r="Z3" s="2587"/>
      <c r="AA3" s="2587"/>
      <c r="AB3" s="2587"/>
      <c r="AC3" s="1280"/>
    </row>
    <row r="4" spans="1:29" ht="15">
      <c r="A4" s="399" t="s">
        <v>2538</v>
      </c>
      <c r="B4" s="400"/>
      <c r="C4" s="3201" t="s">
        <v>2539</v>
      </c>
      <c r="D4" s="3202"/>
      <c r="E4" s="3203" t="s">
        <v>2540</v>
      </c>
      <c r="F4" s="3204"/>
      <c r="G4" s="3201" t="s">
        <v>2541</v>
      </c>
      <c r="H4" s="3202"/>
      <c r="I4" s="3201" t="s">
        <v>2542</v>
      </c>
      <c r="J4" s="3202"/>
      <c r="K4" s="2590" t="s">
        <v>2543</v>
      </c>
      <c r="L4" s="1128"/>
      <c r="M4" s="1129"/>
      <c r="N4" s="1129"/>
      <c r="O4" s="1129"/>
      <c r="P4" s="3205" t="s">
        <v>2544</v>
      </c>
      <c r="Q4" s="3206"/>
      <c r="R4" s="3186" t="s">
        <v>2540</v>
      </c>
      <c r="S4" s="3187"/>
      <c r="T4" s="3186" t="s">
        <v>2541</v>
      </c>
      <c r="U4" s="3187"/>
      <c r="V4" s="3213" t="s">
        <v>2542</v>
      </c>
      <c r="W4" s="3213"/>
      <c r="X4" s="2933"/>
      <c r="Y4" s="3186" t="s">
        <v>2544</v>
      </c>
      <c r="Z4" s="3187"/>
      <c r="AA4" s="3181" t="s">
        <v>2540</v>
      </c>
      <c r="AB4" s="3181" t="s">
        <v>2541</v>
      </c>
      <c r="AC4" s="3181" t="s">
        <v>2542</v>
      </c>
    </row>
    <row r="5" spans="1:29" ht="15">
      <c r="A5" s="402"/>
      <c r="B5" s="403"/>
      <c r="C5" s="3192" t="s">
        <v>2545</v>
      </c>
      <c r="D5" s="3193"/>
      <c r="E5" s="3190" t="s">
        <v>3138</v>
      </c>
      <c r="F5" s="3191"/>
      <c r="G5" s="3196" t="s">
        <v>3155</v>
      </c>
      <c r="H5" s="3193"/>
      <c r="I5" s="3196" t="s">
        <v>3157</v>
      </c>
      <c r="J5" s="3193"/>
      <c r="K5" s="2591"/>
      <c r="L5" s="1128"/>
      <c r="M5" s="1129"/>
      <c r="N5" s="1129"/>
      <c r="O5" s="1129"/>
      <c r="P5" s="3207"/>
      <c r="Q5" s="3208"/>
      <c r="R5" s="3188"/>
      <c r="S5" s="3189"/>
      <c r="T5" s="3188"/>
      <c r="U5" s="3189"/>
      <c r="V5" s="3213"/>
      <c r="W5" s="3213"/>
      <c r="X5" s="2933"/>
      <c r="Y5" s="3188"/>
      <c r="Z5" s="3189"/>
      <c r="AA5" s="3182"/>
      <c r="AB5" s="3182"/>
      <c r="AC5" s="3182"/>
    </row>
    <row r="6" spans="1:29" ht="15.75" thickBot="1">
      <c r="A6" s="404"/>
      <c r="B6" s="405"/>
      <c r="C6" s="3194" t="s">
        <v>2549</v>
      </c>
      <c r="D6" s="3195"/>
      <c r="E6" s="3197" t="s">
        <v>3137</v>
      </c>
      <c r="F6" s="3198"/>
      <c r="G6" s="3199" t="s">
        <v>3156</v>
      </c>
      <c r="H6" s="3195"/>
      <c r="I6" s="3199" t="s">
        <v>3158</v>
      </c>
      <c r="J6" s="3195"/>
      <c r="K6" s="2591" t="s">
        <v>2550</v>
      </c>
      <c r="L6" s="1128"/>
      <c r="M6" s="1129"/>
      <c r="N6" s="1129"/>
      <c r="O6" s="1129"/>
      <c r="P6" s="3209"/>
      <c r="Q6" s="3210"/>
      <c r="R6" s="3188"/>
      <c r="S6" s="3189"/>
      <c r="T6" s="3211"/>
      <c r="U6" s="3212"/>
      <c r="V6" s="3213"/>
      <c r="W6" s="3213"/>
      <c r="X6" s="2933"/>
      <c r="Y6" s="3211"/>
      <c r="Z6" s="3212"/>
      <c r="AA6" s="3183"/>
      <c r="AB6" s="3183"/>
      <c r="AC6" s="3183"/>
    </row>
    <row r="7" spans="1:29" s="115" customFormat="1" ht="15.75" thickBot="1">
      <c r="A7" s="406" t="s">
        <v>2551</v>
      </c>
      <c r="B7" s="407"/>
      <c r="C7" s="408">
        <f>'数据-取费表'!B2</f>
        <v>43056</v>
      </c>
      <c r="D7" s="409">
        <v>100</v>
      </c>
      <c r="E7" s="410">
        <f>C7</f>
        <v>43056</v>
      </c>
      <c r="F7" s="411">
        <f>SUMIF(58:58,YEAR(E7)&amp;"-"&amp;MONTH(E7),59:59)</f>
        <v>100</v>
      </c>
      <c r="G7" s="410">
        <f>C7</f>
        <v>43056</v>
      </c>
      <c r="H7" s="409">
        <f>SUMIF(58:58,YEAR(G7)&amp;"-"&amp;MONTH(G7),59:59)</f>
        <v>100</v>
      </c>
      <c r="I7" s="410">
        <f>C7</f>
        <v>43056</v>
      </c>
      <c r="J7" s="409">
        <f>SUMIF(58:58,YEAR(I7)&amp;"-"&amp;MONTH(I7),59:59)</f>
        <v>100</v>
      </c>
      <c r="K7" s="2592"/>
      <c r="L7" s="1130"/>
      <c r="M7" s="1131"/>
      <c r="N7" s="1131"/>
      <c r="O7" s="1131"/>
      <c r="P7" s="3184" t="s">
        <v>2552</v>
      </c>
      <c r="Q7" s="3214"/>
      <c r="R7" s="767" t="s">
        <v>23</v>
      </c>
      <c r="S7" s="768">
        <f t="shared" ref="S7:S15" si="0">F7</f>
        <v>100</v>
      </c>
      <c r="T7" s="767" t="s">
        <v>23</v>
      </c>
      <c r="U7" s="768">
        <f t="shared" ref="U7:U15" si="1">H7</f>
        <v>100</v>
      </c>
      <c r="V7" s="767" t="s">
        <v>23</v>
      </c>
      <c r="W7" s="768">
        <f t="shared" ref="W7:W15" si="2">J7</f>
        <v>100</v>
      </c>
      <c r="X7" s="769"/>
      <c r="Y7" s="3184" t="s">
        <v>2552</v>
      </c>
      <c r="Z7" s="3185"/>
      <c r="AA7" s="770">
        <f>D7/F7</f>
        <v>1</v>
      </c>
      <c r="AB7" s="770">
        <f>D7/H7</f>
        <v>1</v>
      </c>
      <c r="AC7" s="770">
        <f>D7/J7</f>
        <v>1</v>
      </c>
    </row>
    <row r="8" spans="1:29" s="115" customFormat="1" ht="15.75" thickBot="1">
      <c r="A8" s="406" t="s">
        <v>2553</v>
      </c>
      <c r="B8" s="407"/>
      <c r="C8" s="412" t="s">
        <v>2554</v>
      </c>
      <c r="D8" s="409">
        <v>100</v>
      </c>
      <c r="E8" s="2593" t="s">
        <v>3106</v>
      </c>
      <c r="F8" s="411">
        <f>SUMIF(61:61,E8,62:62)-SUMIF(61:61,C8,62:62)+100</f>
        <v>100</v>
      </c>
      <c r="G8" s="412" t="s">
        <v>3106</v>
      </c>
      <c r="H8" s="409">
        <f>SUMIF(61:61,G8,62:62)-SUMIF(61:61,C8,62:62)+100</f>
        <v>100</v>
      </c>
      <c r="I8" s="2593" t="s">
        <v>3106</v>
      </c>
      <c r="J8" s="409">
        <f>SUMIF(61:61,I8,62:62)-SUMIF(61:61,C8,62:62)+100</f>
        <v>100</v>
      </c>
      <c r="K8" s="2592"/>
      <c r="L8" s="1130"/>
      <c r="M8" s="1131"/>
      <c r="N8" s="1131"/>
      <c r="O8" s="1131"/>
      <c r="P8" s="3184" t="s">
        <v>2555</v>
      </c>
      <c r="Q8" s="3185"/>
      <c r="R8" s="767" t="s">
        <v>23</v>
      </c>
      <c r="S8" s="768">
        <f t="shared" si="0"/>
        <v>100</v>
      </c>
      <c r="T8" s="767" t="s">
        <v>23</v>
      </c>
      <c r="U8" s="768">
        <f t="shared" si="1"/>
        <v>100</v>
      </c>
      <c r="V8" s="767" t="s">
        <v>23</v>
      </c>
      <c r="W8" s="768">
        <f t="shared" si="2"/>
        <v>100</v>
      </c>
      <c r="X8" s="769"/>
      <c r="Y8" s="3184" t="s">
        <v>2555</v>
      </c>
      <c r="Z8" s="3185"/>
      <c r="AA8" s="770">
        <f t="shared" ref="AA8:AA19" si="3">D8/F8</f>
        <v>1</v>
      </c>
      <c r="AB8" s="770">
        <f t="shared" ref="AB8:AB19" si="4">D8/H8</f>
        <v>1</v>
      </c>
      <c r="AC8" s="770">
        <f t="shared" ref="AC8:AC19" si="5">D8/J8</f>
        <v>1</v>
      </c>
    </row>
    <row r="9" spans="1:29" s="115" customFormat="1">
      <c r="A9" s="413" t="s">
        <v>2556</v>
      </c>
      <c r="B9" s="70" t="s">
        <v>2557</v>
      </c>
      <c r="C9" s="2946" t="s">
        <v>3139</v>
      </c>
      <c r="D9" s="132">
        <v>100</v>
      </c>
      <c r="E9" s="415" t="s">
        <v>3079</v>
      </c>
      <c r="F9" s="416">
        <f>SUMIF(63:63,E9,64:64)-SUMIF(63:63,C9,64:64)+100</f>
        <v>100</v>
      </c>
      <c r="G9" s="417" t="s">
        <v>3079</v>
      </c>
      <c r="H9" s="132">
        <f>SUMIF(63:63,G9,64:64)-SUMIF(63:63,C9,64:64)+100</f>
        <v>100</v>
      </c>
      <c r="I9" s="417" t="s">
        <v>3079</v>
      </c>
      <c r="J9" s="132">
        <f>SUMIF(63:63,I9,64:64)-SUMIF(63:63,C9,64:64)+100</f>
        <v>100</v>
      </c>
      <c r="K9" s="2592"/>
      <c r="L9" s="1130"/>
      <c r="M9" s="1131"/>
      <c r="N9" s="1131"/>
      <c r="O9" s="1131"/>
      <c r="P9" s="3224" t="s">
        <v>2558</v>
      </c>
      <c r="Q9" s="2930" t="str">
        <f t="shared" ref="Q9:Q15" si="6">B9</f>
        <v>用途</v>
      </c>
      <c r="R9" s="767" t="s">
        <v>17</v>
      </c>
      <c r="S9" s="768">
        <f t="shared" si="0"/>
        <v>100</v>
      </c>
      <c r="T9" s="767" t="s">
        <v>17</v>
      </c>
      <c r="U9" s="768">
        <f t="shared" si="1"/>
        <v>100</v>
      </c>
      <c r="V9" s="767" t="s">
        <v>17</v>
      </c>
      <c r="W9" s="768">
        <f t="shared" si="2"/>
        <v>100</v>
      </c>
      <c r="X9" s="769"/>
      <c r="Y9" s="3058" t="s">
        <v>2559</v>
      </c>
      <c r="Z9" s="2931" t="str">
        <f t="shared" ref="Z9:Z15" si="7">Q9</f>
        <v>用途</v>
      </c>
      <c r="AA9" s="770">
        <f t="shared" si="3"/>
        <v>1</v>
      </c>
      <c r="AB9" s="770">
        <f t="shared" si="4"/>
        <v>1</v>
      </c>
      <c r="AC9" s="770">
        <f t="shared" si="5"/>
        <v>1</v>
      </c>
    </row>
    <row r="10" spans="1:29" s="425" customFormat="1" ht="27">
      <c r="A10" s="419"/>
      <c r="B10" s="2932" t="s">
        <v>2560</v>
      </c>
      <c r="C10" s="421" t="s">
        <v>3140</v>
      </c>
      <c r="D10" s="133">
        <v>100</v>
      </c>
      <c r="E10" s="422" t="s">
        <v>3140</v>
      </c>
      <c r="F10" s="423">
        <f>SUMIF(65:65,E10,66:66)-SUMIF(65:65,C10,66:66)+100</f>
        <v>100</v>
      </c>
      <c r="G10" s="421" t="s">
        <v>3140</v>
      </c>
      <c r="H10" s="133">
        <f>SUMIF(65:65,G10,66:66)-SUMIF(65:65,C10,66:66)+100</f>
        <v>100</v>
      </c>
      <c r="I10" s="421" t="s">
        <v>3140</v>
      </c>
      <c r="J10" s="133">
        <f>SUMIF(65:65,I10,66:66)-SUMIF(65:65,C10,66:66)+100</f>
        <v>100</v>
      </c>
      <c r="K10" s="424">
        <v>2</v>
      </c>
      <c r="L10" s="1133"/>
      <c r="M10" s="1134"/>
      <c r="N10" s="1134"/>
      <c r="O10" s="1134"/>
      <c r="P10" s="3224"/>
      <c r="Q10" s="2930" t="str">
        <f t="shared" si="6"/>
        <v>土地使用年限（年）</v>
      </c>
      <c r="R10" s="767" t="s">
        <v>17</v>
      </c>
      <c r="S10" s="768">
        <f t="shared" si="0"/>
        <v>100</v>
      </c>
      <c r="T10" s="767" t="s">
        <v>17</v>
      </c>
      <c r="U10" s="768">
        <f t="shared" si="1"/>
        <v>100</v>
      </c>
      <c r="V10" s="767" t="s">
        <v>17</v>
      </c>
      <c r="W10" s="768">
        <f t="shared" si="2"/>
        <v>100</v>
      </c>
      <c r="X10" s="769"/>
      <c r="Y10" s="3058"/>
      <c r="Z10" s="2931" t="str">
        <f t="shared" si="7"/>
        <v>土地使用年限（年）</v>
      </c>
      <c r="AA10" s="770">
        <f t="shared" si="3"/>
        <v>1</v>
      </c>
      <c r="AB10" s="770">
        <f t="shared" si="4"/>
        <v>1</v>
      </c>
      <c r="AC10" s="770">
        <f t="shared" si="5"/>
        <v>1</v>
      </c>
    </row>
    <row r="11" spans="1:29" ht="15.75" thickBot="1">
      <c r="A11" s="426"/>
      <c r="B11" s="2932" t="s">
        <v>2561</v>
      </c>
      <c r="C11" s="427">
        <f>'数据-汇总表'!I4</f>
        <v>2.54</v>
      </c>
      <c r="D11" s="133">
        <v>100</v>
      </c>
      <c r="E11" s="428">
        <v>3</v>
      </c>
      <c r="F11" s="423">
        <f>LOOKUP(E11,68:68,69:69)-LOOKUP(C11,68:68,69:69)+100</f>
        <v>98</v>
      </c>
      <c r="G11" s="427">
        <v>3</v>
      </c>
      <c r="H11" s="133">
        <f>LOOKUP(G11,68:68,69:69)-LOOKUP(C11,68:68,69:69)+100</f>
        <v>98</v>
      </c>
      <c r="I11" s="427">
        <v>1.3</v>
      </c>
      <c r="J11" s="133">
        <f>LOOKUP(I11,68:68,69:69)-LOOKUP(C11,68:68,69:69)+100</f>
        <v>102</v>
      </c>
      <c r="K11" s="424">
        <v>2</v>
      </c>
      <c r="L11" s="1136"/>
      <c r="M11" s="1129"/>
      <c r="N11" s="1129"/>
      <c r="O11" s="1129"/>
      <c r="P11" s="3224"/>
      <c r="Q11" s="2930" t="str">
        <f t="shared" si="6"/>
        <v>容积率</v>
      </c>
      <c r="R11" s="767" t="s">
        <v>21</v>
      </c>
      <c r="S11" s="768">
        <f t="shared" si="0"/>
        <v>98</v>
      </c>
      <c r="T11" s="767" t="s">
        <v>21</v>
      </c>
      <c r="U11" s="768">
        <f t="shared" si="1"/>
        <v>98</v>
      </c>
      <c r="V11" s="767" t="s">
        <v>21</v>
      </c>
      <c r="W11" s="768">
        <f t="shared" si="2"/>
        <v>102</v>
      </c>
      <c r="X11" s="769"/>
      <c r="Y11" s="3058"/>
      <c r="Z11" s="2931" t="str">
        <f t="shared" si="7"/>
        <v>容积率</v>
      </c>
      <c r="AA11" s="770">
        <f t="shared" si="3"/>
        <v>1.0204081632653061</v>
      </c>
      <c r="AB11" s="770">
        <f t="shared" si="4"/>
        <v>1.0204081632653061</v>
      </c>
      <c r="AC11" s="770">
        <f t="shared" si="5"/>
        <v>0.98039215686274506</v>
      </c>
    </row>
    <row r="12" spans="1:29" s="115" customFormat="1" ht="15.75" hidden="1" thickBot="1">
      <c r="A12" s="429"/>
      <c r="B12" s="2594">
        <v>111</v>
      </c>
      <c r="C12" s="430"/>
      <c r="D12" s="431">
        <v>100</v>
      </c>
      <c r="E12" s="430"/>
      <c r="F12" s="423">
        <f>SUMIF(70:70,E12,71:71)-SUMIF(70:70,C12,71:71)+100</f>
        <v>100</v>
      </c>
      <c r="G12" s="430"/>
      <c r="H12" s="133">
        <f>SUMIF(70:70,G12,71:71)-SUMIF(70:70,C12,71:71)+100</f>
        <v>100</v>
      </c>
      <c r="I12" s="430"/>
      <c r="J12" s="133">
        <f>SUMIF(70:70,I12,71:71)-SUMIF(70:70,C12,71:71)+100</f>
        <v>100</v>
      </c>
      <c r="K12" s="2595"/>
      <c r="L12" s="1130"/>
      <c r="M12" s="1131"/>
      <c r="N12" s="1131"/>
      <c r="O12" s="1131"/>
      <c r="P12" s="3224"/>
      <c r="Q12" s="2930">
        <f t="shared" si="6"/>
        <v>111</v>
      </c>
      <c r="R12" s="767" t="s">
        <v>21</v>
      </c>
      <c r="S12" s="768">
        <f t="shared" si="0"/>
        <v>100</v>
      </c>
      <c r="T12" s="767" t="s">
        <v>21</v>
      </c>
      <c r="U12" s="768">
        <f t="shared" si="1"/>
        <v>100</v>
      </c>
      <c r="V12" s="767" t="s">
        <v>21</v>
      </c>
      <c r="W12" s="768">
        <f t="shared" si="2"/>
        <v>100</v>
      </c>
      <c r="X12" s="769"/>
      <c r="Y12" s="3058"/>
      <c r="Z12" s="2931">
        <f t="shared" si="7"/>
        <v>111</v>
      </c>
      <c r="AA12" s="770">
        <f>D12/F12</f>
        <v>1</v>
      </c>
      <c r="AB12" s="770">
        <f>D12/H12</f>
        <v>1</v>
      </c>
      <c r="AC12" s="770">
        <f>D12/J12</f>
        <v>1</v>
      </c>
    </row>
    <row r="13" spans="1:29" ht="15.75" hidden="1" thickBot="1">
      <c r="A13" s="426"/>
      <c r="B13" s="2594">
        <v>111</v>
      </c>
      <c r="C13" s="432"/>
      <c r="D13" s="433">
        <v>100</v>
      </c>
      <c r="E13" s="432"/>
      <c r="F13" s="423">
        <f>SUMIF(72:72,E13,73:73)-SUMIF(72:72,C13,73:73)+100</f>
        <v>100</v>
      </c>
      <c r="G13" s="432"/>
      <c r="H13" s="433">
        <f>SUMIF(72:72,G13,73:73)-SUMIF(72:72,C13,73:73)+100</f>
        <v>100</v>
      </c>
      <c r="I13" s="432"/>
      <c r="J13" s="433">
        <f>SUMIF(72:72,I13,73:73)-SUMIF(72:72,C13,73:73)+100</f>
        <v>100</v>
      </c>
      <c r="K13" s="2595"/>
      <c r="L13" s="1138"/>
      <c r="M13" s="1129"/>
      <c r="N13" s="1129"/>
      <c r="O13" s="1129"/>
      <c r="P13" s="3224"/>
      <c r="Q13" s="2930">
        <f t="shared" si="6"/>
        <v>111</v>
      </c>
      <c r="R13" s="767" t="s">
        <v>21</v>
      </c>
      <c r="S13" s="768">
        <f t="shared" si="0"/>
        <v>100</v>
      </c>
      <c r="T13" s="767" t="s">
        <v>21</v>
      </c>
      <c r="U13" s="768">
        <f t="shared" si="1"/>
        <v>100</v>
      </c>
      <c r="V13" s="767" t="s">
        <v>21</v>
      </c>
      <c r="W13" s="768">
        <f t="shared" si="2"/>
        <v>100</v>
      </c>
      <c r="X13" s="769"/>
      <c r="Y13" s="3058"/>
      <c r="Z13" s="2931">
        <f t="shared" si="7"/>
        <v>111</v>
      </c>
      <c r="AA13" s="770">
        <f t="shared" si="3"/>
        <v>1</v>
      </c>
      <c r="AB13" s="770">
        <f t="shared" si="4"/>
        <v>1</v>
      </c>
      <c r="AC13" s="770">
        <f t="shared" si="5"/>
        <v>1</v>
      </c>
    </row>
    <row r="14" spans="1:29" ht="15.75" hidden="1" thickBot="1">
      <c r="A14" s="434"/>
      <c r="B14" s="2596">
        <v>111</v>
      </c>
      <c r="C14" s="435"/>
      <c r="D14" s="436">
        <v>100</v>
      </c>
      <c r="E14" s="435"/>
      <c r="F14" s="437">
        <f>SUMIF(74:74,E14,75:75)-SUMIF(74:74,C14,75:75)+100</f>
        <v>100</v>
      </c>
      <c r="G14" s="435"/>
      <c r="H14" s="436">
        <f>SUMIF(74:74,G14,75:75)-SUMIF(74:74,C14,75:75)+100</f>
        <v>100</v>
      </c>
      <c r="I14" s="435"/>
      <c r="J14" s="436">
        <f>SUMIF(74:74,I14,75:75)-SUMIF(74:74,C14,75:75)+100</f>
        <v>100</v>
      </c>
      <c r="K14" s="2595"/>
      <c r="L14" s="1138"/>
      <c r="M14" s="1129"/>
      <c r="N14" s="1129"/>
      <c r="O14" s="1129"/>
      <c r="P14" s="3224"/>
      <c r="Q14" s="2930">
        <f t="shared" si="6"/>
        <v>111</v>
      </c>
      <c r="R14" s="767" t="s">
        <v>21</v>
      </c>
      <c r="S14" s="768">
        <f t="shared" si="0"/>
        <v>100</v>
      </c>
      <c r="T14" s="767" t="s">
        <v>21</v>
      </c>
      <c r="U14" s="768">
        <f t="shared" si="1"/>
        <v>100</v>
      </c>
      <c r="V14" s="767" t="s">
        <v>21</v>
      </c>
      <c r="W14" s="768">
        <f t="shared" si="2"/>
        <v>100</v>
      </c>
      <c r="X14" s="769"/>
      <c r="Y14" s="3058"/>
      <c r="Z14" s="2931">
        <f t="shared" si="7"/>
        <v>111</v>
      </c>
      <c r="AA14" s="770">
        <f t="shared" si="3"/>
        <v>1</v>
      </c>
      <c r="AB14" s="770">
        <f t="shared" si="4"/>
        <v>1</v>
      </c>
      <c r="AC14" s="770">
        <f t="shared" si="5"/>
        <v>1</v>
      </c>
    </row>
    <row r="15" spans="1:29" ht="99.75">
      <c r="A15" s="438" t="s">
        <v>2562</v>
      </c>
      <c r="B15" s="68" t="s">
        <v>2091</v>
      </c>
      <c r="C15" s="2597"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103</v>
      </c>
      <c r="I15" s="440"/>
      <c r="J15" s="439">
        <f>SUMIF(76:76,I16,77:77)-SUMIF(76:76,C16,77:77)+100</f>
        <v>100</v>
      </c>
      <c r="K15" s="443">
        <v>3</v>
      </c>
      <c r="L15" s="1138"/>
      <c r="M15" s="1129"/>
      <c r="N15" s="1129"/>
      <c r="O15" s="1129"/>
      <c r="P15" s="3233" t="s">
        <v>2563</v>
      </c>
      <c r="Q15" s="2935" t="str">
        <f t="shared" si="6"/>
        <v>居住社区成熟度</v>
      </c>
      <c r="R15" s="771" t="s">
        <v>21</v>
      </c>
      <c r="S15" s="772">
        <f t="shared" si="0"/>
        <v>100</v>
      </c>
      <c r="T15" s="771" t="s">
        <v>21</v>
      </c>
      <c r="U15" s="772">
        <f t="shared" si="1"/>
        <v>103</v>
      </c>
      <c r="V15" s="771" t="s">
        <v>21</v>
      </c>
      <c r="W15" s="772">
        <f t="shared" si="2"/>
        <v>100</v>
      </c>
      <c r="X15" s="2933"/>
      <c r="Y15" s="3215" t="s">
        <v>2563</v>
      </c>
      <c r="Z15" s="2934" t="str">
        <f t="shared" si="7"/>
        <v>居住社区成熟度</v>
      </c>
      <c r="AA15" s="2936">
        <f t="shared" si="3"/>
        <v>1</v>
      </c>
      <c r="AB15" s="2936">
        <f t="shared" si="4"/>
        <v>0.970873786407767</v>
      </c>
      <c r="AC15" s="2936">
        <f t="shared" si="5"/>
        <v>1</v>
      </c>
    </row>
    <row r="16" spans="1:29" ht="15">
      <c r="A16" s="426"/>
      <c r="B16" s="444"/>
      <c r="C16" s="445" t="s">
        <v>3110</v>
      </c>
      <c r="D16" s="446"/>
      <c r="E16" s="2598" t="s">
        <v>3110</v>
      </c>
      <c r="F16" s="446"/>
      <c r="G16" s="2599" t="s">
        <v>3111</v>
      </c>
      <c r="H16" s="448"/>
      <c r="I16" s="2599" t="s">
        <v>3110</v>
      </c>
      <c r="J16" s="446"/>
      <c r="K16" s="2600"/>
      <c r="L16" s="1138"/>
      <c r="M16" s="1129"/>
      <c r="N16" s="1129"/>
      <c r="O16" s="1129"/>
      <c r="P16" s="3234"/>
      <c r="Q16" s="2935"/>
      <c r="R16" s="771"/>
      <c r="S16" s="772"/>
      <c r="T16" s="771"/>
      <c r="U16" s="772"/>
      <c r="V16" s="771"/>
      <c r="W16" s="772"/>
      <c r="X16" s="2933"/>
      <c r="Y16" s="3216"/>
      <c r="Z16" s="2934"/>
      <c r="AA16" s="2936">
        <v>1</v>
      </c>
      <c r="AB16" s="2936">
        <v>1</v>
      </c>
      <c r="AC16" s="2936">
        <v>1</v>
      </c>
    </row>
    <row r="17" spans="1:29" ht="85.5">
      <c r="A17" s="426"/>
      <c r="B17" s="449" t="s">
        <v>2103</v>
      </c>
      <c r="C17" s="2601"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v>3</v>
      </c>
      <c r="L17" s="1138"/>
      <c r="M17" s="1129"/>
      <c r="N17" s="1129"/>
      <c r="O17" s="1129"/>
      <c r="P17" s="3234"/>
      <c r="Q17" s="2935" t="str">
        <f>B17</f>
        <v>交通便捷度</v>
      </c>
      <c r="R17" s="771" t="s">
        <v>21</v>
      </c>
      <c r="S17" s="772">
        <f>F17</f>
        <v>100</v>
      </c>
      <c r="T17" s="771" t="s">
        <v>21</v>
      </c>
      <c r="U17" s="772">
        <f>H17</f>
        <v>100</v>
      </c>
      <c r="V17" s="771" t="s">
        <v>21</v>
      </c>
      <c r="W17" s="772">
        <f>J17</f>
        <v>100</v>
      </c>
      <c r="X17" s="2933"/>
      <c r="Y17" s="3216"/>
      <c r="Z17" s="2934" t="str">
        <f>Q17</f>
        <v>交通便捷度</v>
      </c>
      <c r="AA17" s="2936">
        <f t="shared" si="3"/>
        <v>1</v>
      </c>
      <c r="AB17" s="2936">
        <f t="shared" si="4"/>
        <v>1</v>
      </c>
      <c r="AC17" s="2936">
        <f t="shared" si="5"/>
        <v>1</v>
      </c>
    </row>
    <row r="18" spans="1:29" ht="15">
      <c r="A18" s="426"/>
      <c r="B18" s="454"/>
      <c r="C18" s="2602" t="s">
        <v>3110</v>
      </c>
      <c r="D18" s="448"/>
      <c r="E18" s="2603" t="s">
        <v>3110</v>
      </c>
      <c r="F18" s="448"/>
      <c r="G18" s="2604" t="s">
        <v>3110</v>
      </c>
      <c r="H18" s="446"/>
      <c r="I18" s="2604" t="s">
        <v>3110</v>
      </c>
      <c r="J18" s="446"/>
      <c r="K18" s="2600"/>
      <c r="L18" s="1138"/>
      <c r="M18" s="1129"/>
      <c r="N18" s="1129"/>
      <c r="O18" s="1129"/>
      <c r="P18" s="3234"/>
      <c r="Q18" s="2935"/>
      <c r="R18" s="771"/>
      <c r="S18" s="772"/>
      <c r="T18" s="771"/>
      <c r="U18" s="772"/>
      <c r="V18" s="771"/>
      <c r="W18" s="772"/>
      <c r="X18" s="2933"/>
      <c r="Y18" s="3216"/>
      <c r="Z18" s="2934"/>
      <c r="AA18" s="2936">
        <v>1</v>
      </c>
      <c r="AB18" s="2936">
        <v>1</v>
      </c>
      <c r="AC18" s="2936">
        <v>1</v>
      </c>
    </row>
    <row r="19" spans="1:29" ht="42.75">
      <c r="A19" s="426"/>
      <c r="B19" s="449" t="s">
        <v>2101</v>
      </c>
      <c r="C19" s="2601"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v>3</v>
      </c>
      <c r="L19" s="1138"/>
      <c r="M19" s="1129"/>
      <c r="N19" s="1129"/>
      <c r="O19" s="1129"/>
      <c r="P19" s="3234"/>
      <c r="Q19" s="2935" t="str">
        <f>B19</f>
        <v>公共配套设施</v>
      </c>
      <c r="R19" s="771" t="s">
        <v>21</v>
      </c>
      <c r="S19" s="772">
        <f>F19</f>
        <v>100</v>
      </c>
      <c r="T19" s="771" t="s">
        <v>21</v>
      </c>
      <c r="U19" s="772">
        <f>H19</f>
        <v>100</v>
      </c>
      <c r="V19" s="771" t="s">
        <v>21</v>
      </c>
      <c r="W19" s="772">
        <f>J19</f>
        <v>100</v>
      </c>
      <c r="X19" s="2933"/>
      <c r="Y19" s="3216"/>
      <c r="Z19" s="2934" t="str">
        <f>Q19</f>
        <v>公共配套设施</v>
      </c>
      <c r="AA19" s="2936">
        <f t="shared" si="3"/>
        <v>1</v>
      </c>
      <c r="AB19" s="2936">
        <f t="shared" si="4"/>
        <v>1</v>
      </c>
      <c r="AC19" s="2936">
        <f t="shared" si="5"/>
        <v>1</v>
      </c>
    </row>
    <row r="20" spans="1:29" ht="15">
      <c r="A20" s="426"/>
      <c r="B20" s="454"/>
      <c r="C20" s="445" t="s">
        <v>3111</v>
      </c>
      <c r="D20" s="446"/>
      <c r="E20" s="2598" t="s">
        <v>3111</v>
      </c>
      <c r="F20" s="446"/>
      <c r="G20" s="2599" t="s">
        <v>3111</v>
      </c>
      <c r="H20" s="446"/>
      <c r="I20" s="2599" t="s">
        <v>3111</v>
      </c>
      <c r="J20" s="446"/>
      <c r="K20" s="2600"/>
      <c r="L20" s="1138"/>
      <c r="M20" s="1129"/>
      <c r="N20" s="1129"/>
      <c r="O20" s="1129"/>
      <c r="P20" s="3234"/>
      <c r="Q20" s="2935"/>
      <c r="R20" s="771"/>
      <c r="S20" s="772"/>
      <c r="T20" s="771"/>
      <c r="U20" s="772"/>
      <c r="V20" s="771"/>
      <c r="W20" s="772"/>
      <c r="X20" s="2933"/>
      <c r="Y20" s="3216"/>
      <c r="Z20" s="2934"/>
      <c r="AA20" s="2936">
        <v>1</v>
      </c>
      <c r="AB20" s="2936">
        <v>1</v>
      </c>
      <c r="AC20" s="2936">
        <v>1</v>
      </c>
    </row>
    <row r="21" spans="1:29" ht="28.5">
      <c r="A21" s="426"/>
      <c r="B21" s="1382" t="s">
        <v>2104</v>
      </c>
      <c r="C21" s="2601"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v>2</v>
      </c>
      <c r="L21" s="1138"/>
      <c r="M21" s="1129"/>
      <c r="N21" s="1129"/>
      <c r="O21" s="1129"/>
      <c r="P21" s="3234"/>
      <c r="Q21" s="2935" t="str">
        <f>B21</f>
        <v>基础设施水平</v>
      </c>
      <c r="R21" s="771" t="s">
        <v>17</v>
      </c>
      <c r="S21" s="772">
        <f>F21</f>
        <v>100</v>
      </c>
      <c r="T21" s="771" t="s">
        <v>17</v>
      </c>
      <c r="U21" s="772">
        <f>H21</f>
        <v>100</v>
      </c>
      <c r="V21" s="771" t="s">
        <v>17</v>
      </c>
      <c r="W21" s="772">
        <f>J21</f>
        <v>100</v>
      </c>
      <c r="X21" s="2933"/>
      <c r="Y21" s="3216"/>
      <c r="Z21" s="2934" t="str">
        <f>Q21</f>
        <v>基础设施水平</v>
      </c>
      <c r="AA21" s="2936">
        <f t="shared" ref="AA21" si="8">D21/F21</f>
        <v>1</v>
      </c>
      <c r="AB21" s="2936">
        <f t="shared" ref="AB21" si="9">D21/H21</f>
        <v>1</v>
      </c>
      <c r="AC21" s="2936">
        <f t="shared" ref="AC21" si="10">D21/J21</f>
        <v>1</v>
      </c>
    </row>
    <row r="22" spans="1:29" ht="15">
      <c r="A22" s="426"/>
      <c r="B22" s="1382"/>
      <c r="C22" s="2602" t="s">
        <v>3112</v>
      </c>
      <c r="D22" s="446"/>
      <c r="E22" s="445" t="s">
        <v>3112</v>
      </c>
      <c r="F22" s="446"/>
      <c r="G22" s="2605" t="s">
        <v>3112</v>
      </c>
      <c r="H22" s="446"/>
      <c r="I22" s="445" t="s">
        <v>3112</v>
      </c>
      <c r="J22" s="446"/>
      <c r="K22" s="2606"/>
      <c r="L22" s="1138"/>
      <c r="M22" s="1129"/>
      <c r="N22" s="1129"/>
      <c r="O22" s="1129"/>
      <c r="P22" s="3234"/>
      <c r="Q22" s="2935"/>
      <c r="R22" s="771"/>
      <c r="S22" s="772"/>
      <c r="T22" s="771"/>
      <c r="U22" s="772"/>
      <c r="V22" s="771"/>
      <c r="W22" s="772"/>
      <c r="X22" s="2933"/>
      <c r="Y22" s="3216"/>
      <c r="Z22" s="2934"/>
      <c r="AA22" s="2936">
        <v>1</v>
      </c>
      <c r="AB22" s="2936">
        <v>1</v>
      </c>
      <c r="AC22" s="2936">
        <v>1</v>
      </c>
    </row>
    <row r="23" spans="1:29" ht="57">
      <c r="A23" s="426"/>
      <c r="B23" s="449" t="s">
        <v>2108</v>
      </c>
      <c r="C23" s="2601"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v>2</v>
      </c>
      <c r="L23" s="1138"/>
      <c r="M23" s="1129"/>
      <c r="N23" s="1129"/>
      <c r="O23" s="1129"/>
      <c r="P23" s="3234"/>
      <c r="Q23" s="2935" t="str">
        <f>B23</f>
        <v>自然及人文环境</v>
      </c>
      <c r="R23" s="771" t="s">
        <v>21</v>
      </c>
      <c r="S23" s="772">
        <f>F23</f>
        <v>100</v>
      </c>
      <c r="T23" s="771" t="s">
        <v>21</v>
      </c>
      <c r="U23" s="772">
        <f>H23</f>
        <v>100</v>
      </c>
      <c r="V23" s="771" t="s">
        <v>21</v>
      </c>
      <c r="W23" s="772">
        <f>J23</f>
        <v>100</v>
      </c>
      <c r="X23" s="2933"/>
      <c r="Y23" s="3216"/>
      <c r="Z23" s="2934" t="str">
        <f>Q23</f>
        <v>自然及人文环境</v>
      </c>
      <c r="AA23" s="2936">
        <f>D23/F23</f>
        <v>1</v>
      </c>
      <c r="AB23" s="2936">
        <f>D23/H23</f>
        <v>1</v>
      </c>
      <c r="AC23" s="2936">
        <f>D23/J23</f>
        <v>1</v>
      </c>
    </row>
    <row r="24" spans="1:29" ht="15.75" thickBot="1">
      <c r="A24" s="426"/>
      <c r="B24" s="454"/>
      <c r="C24" s="445" t="s">
        <v>3111</v>
      </c>
      <c r="D24" s="446"/>
      <c r="E24" s="2598" t="s">
        <v>3111</v>
      </c>
      <c r="F24" s="446"/>
      <c r="G24" s="2599" t="s">
        <v>3111</v>
      </c>
      <c r="H24" s="446"/>
      <c r="I24" s="2599" t="s">
        <v>3111</v>
      </c>
      <c r="J24" s="446"/>
      <c r="K24" s="2600"/>
      <c r="L24" s="1138"/>
      <c r="M24" s="1129"/>
      <c r="N24" s="1129"/>
      <c r="O24" s="1129"/>
      <c r="P24" s="3234"/>
      <c r="Q24" s="2935"/>
      <c r="R24" s="771"/>
      <c r="S24" s="772"/>
      <c r="T24" s="771"/>
      <c r="U24" s="772"/>
      <c r="V24" s="771"/>
      <c r="W24" s="772"/>
      <c r="X24" s="2933"/>
      <c r="Y24" s="3216"/>
      <c r="Z24" s="2934"/>
      <c r="AA24" s="2936">
        <v>1</v>
      </c>
      <c r="AB24" s="2936">
        <v>1</v>
      </c>
      <c r="AC24" s="2936">
        <v>1</v>
      </c>
    </row>
    <row r="25" spans="1:29" ht="15.75" hidden="1" thickBot="1">
      <c r="A25" s="426"/>
      <c r="B25" s="2932" t="s">
        <v>2564</v>
      </c>
      <c r="C25" s="458"/>
      <c r="D25" s="433">
        <v>100</v>
      </c>
      <c r="E25" s="2607"/>
      <c r="F25" s="433">
        <f>SUMIF(86:86,E25,87:87)-SUMIF(86:86,C25,87:87)+100</f>
        <v>100</v>
      </c>
      <c r="G25" s="2608"/>
      <c r="H25" s="433">
        <f>SUMIF(86:86,G25,87:87)-SUMIF(86:86,C25,87:87)+100</f>
        <v>100</v>
      </c>
      <c r="I25" s="2608"/>
      <c r="J25" s="433">
        <f>SUMIF(86:86,I25,87:87)-SUMIF(86:86,C25,87:87)+100</f>
        <v>100</v>
      </c>
      <c r="K25" s="424"/>
      <c r="L25" s="1138"/>
      <c r="M25" s="1129"/>
      <c r="N25" s="1129"/>
      <c r="O25" s="1129"/>
      <c r="P25" s="3234"/>
      <c r="Q25" s="2935" t="str">
        <f t="shared" ref="Q25:Q46" si="11">B25</f>
        <v>楼层-1</v>
      </c>
      <c r="R25" s="771" t="s">
        <v>21</v>
      </c>
      <c r="S25" s="772">
        <f t="shared" ref="S25:S46" si="12">F25</f>
        <v>100</v>
      </c>
      <c r="T25" s="771" t="s">
        <v>21</v>
      </c>
      <c r="U25" s="772">
        <f t="shared" ref="U25:U46" si="13">H25</f>
        <v>100</v>
      </c>
      <c r="V25" s="771" t="s">
        <v>21</v>
      </c>
      <c r="W25" s="772">
        <f t="shared" ref="W25:W46" si="14">J25</f>
        <v>100</v>
      </c>
      <c r="X25" s="2933"/>
      <c r="Y25" s="3216"/>
      <c r="Z25" s="2934" t="str">
        <f>Q25</f>
        <v>楼层-1</v>
      </c>
      <c r="AA25" s="2936">
        <f t="shared" ref="AA25:AA46" si="15">D25/F25</f>
        <v>1</v>
      </c>
      <c r="AB25" s="2936">
        <f t="shared" ref="AB25:AB46" si="16">D25/H25</f>
        <v>1</v>
      </c>
      <c r="AC25" s="2936">
        <f t="shared" ref="AC25:AC46" si="17">D25/J25</f>
        <v>1</v>
      </c>
    </row>
    <row r="26" spans="1:29" ht="15.75" hidden="1" thickBot="1">
      <c r="A26" s="426"/>
      <c r="B26" s="2932" t="s">
        <v>2565</v>
      </c>
      <c r="C26" s="458"/>
      <c r="D26" s="433">
        <v>100</v>
      </c>
      <c r="E26" s="2607"/>
      <c r="F26" s="433">
        <f>SUMIF(88:88,E26,89:89)-SUMIF(88:88,C26,89:89)+100</f>
        <v>100</v>
      </c>
      <c r="G26" s="2608"/>
      <c r="H26" s="433">
        <f>SUMIF(88:88,G26,89:89)-SUMIF(88:88,C26,89:89)+100</f>
        <v>100</v>
      </c>
      <c r="I26" s="2608"/>
      <c r="J26" s="433">
        <f>SUMIF(88:88,I26,89:89)-SUMIF(88:88,C26,89:89)+100</f>
        <v>100</v>
      </c>
      <c r="K26" s="424"/>
      <c r="L26" s="1138"/>
      <c r="M26" s="1129"/>
      <c r="N26" s="1129"/>
      <c r="O26" s="1129"/>
      <c r="P26" s="3234"/>
      <c r="Q26" s="2935" t="str">
        <f t="shared" si="11"/>
        <v>朝向</v>
      </c>
      <c r="R26" s="771" t="s">
        <v>21</v>
      </c>
      <c r="S26" s="772">
        <f t="shared" si="12"/>
        <v>100</v>
      </c>
      <c r="T26" s="771" t="s">
        <v>21</v>
      </c>
      <c r="U26" s="772">
        <f t="shared" si="13"/>
        <v>100</v>
      </c>
      <c r="V26" s="771" t="s">
        <v>21</v>
      </c>
      <c r="W26" s="772">
        <f t="shared" si="14"/>
        <v>100</v>
      </c>
      <c r="X26" s="2933"/>
      <c r="Y26" s="3216"/>
      <c r="Z26" s="2934" t="str">
        <f>Q26</f>
        <v>朝向</v>
      </c>
      <c r="AA26" s="2936">
        <f t="shared" si="15"/>
        <v>1</v>
      </c>
      <c r="AB26" s="2936">
        <f t="shared" si="16"/>
        <v>1</v>
      </c>
      <c r="AC26" s="2936">
        <f t="shared" si="17"/>
        <v>1</v>
      </c>
    </row>
    <row r="27" spans="1:29" s="115" customFormat="1" ht="15.75" hidden="1" thickBot="1">
      <c r="A27" s="429"/>
      <c r="B27" s="1384">
        <v>111</v>
      </c>
      <c r="C27" s="430"/>
      <c r="D27" s="460">
        <v>100</v>
      </c>
      <c r="E27" s="463"/>
      <c r="F27" s="460">
        <f>SUMIF(90:90,E27,91:91)-SUMIF(90:90,C27,91:91)+100</f>
        <v>100</v>
      </c>
      <c r="G27" s="461"/>
      <c r="H27" s="460">
        <f>SUMIF(90:90,G27,91:91)-SUMIF(90:90,C27,91:91)+100</f>
        <v>100</v>
      </c>
      <c r="I27" s="461"/>
      <c r="J27" s="460">
        <f>SUMIF(90:90,I27,91:91)-SUMIF(90:90,C27,91:91)+100</f>
        <v>100</v>
      </c>
      <c r="K27" s="2595"/>
      <c r="L27" s="1130"/>
      <c r="M27" s="1131"/>
      <c r="N27" s="1131"/>
      <c r="O27" s="1131"/>
      <c r="P27" s="3234"/>
      <c r="Q27" s="2930">
        <f t="shared" si="11"/>
        <v>111</v>
      </c>
      <c r="R27" s="767" t="s">
        <v>21</v>
      </c>
      <c r="S27" s="768">
        <f t="shared" si="12"/>
        <v>100</v>
      </c>
      <c r="T27" s="767" t="s">
        <v>21</v>
      </c>
      <c r="U27" s="768">
        <f t="shared" si="13"/>
        <v>100</v>
      </c>
      <c r="V27" s="767" t="s">
        <v>21</v>
      </c>
      <c r="W27" s="768">
        <f t="shared" si="14"/>
        <v>100</v>
      </c>
      <c r="X27" s="769"/>
      <c r="Y27" s="3216"/>
      <c r="Z27" s="2931">
        <f>Q27</f>
        <v>111</v>
      </c>
      <c r="AA27" s="2936">
        <f t="shared" si="15"/>
        <v>1</v>
      </c>
      <c r="AB27" s="2936">
        <f t="shared" si="16"/>
        <v>1</v>
      </c>
      <c r="AC27" s="2936">
        <f t="shared" si="17"/>
        <v>1</v>
      </c>
    </row>
    <row r="28" spans="1:29" ht="15.75" hidden="1" thickBot="1">
      <c r="A28" s="426"/>
      <c r="B28" s="1384">
        <v>111</v>
      </c>
      <c r="C28" s="432"/>
      <c r="D28" s="433">
        <v>100</v>
      </c>
      <c r="E28" s="432"/>
      <c r="F28" s="433">
        <f>SUMIF(92:92,E28,93:93)-SUMIF(92:92,C28,93:93)+100</f>
        <v>100</v>
      </c>
      <c r="G28" s="2609"/>
      <c r="H28" s="433">
        <f>SUMIF(92:92,G28,93:93)-SUMIF(92:92,C28,93:93)+100</f>
        <v>100</v>
      </c>
      <c r="I28" s="432"/>
      <c r="J28" s="433">
        <f>SUMIF(92:92,I28,93:93)-SUMIF(92:92,C28,93:93)+100</f>
        <v>100</v>
      </c>
      <c r="K28" s="2595"/>
      <c r="L28" s="1138"/>
      <c r="M28" s="1129"/>
      <c r="N28" s="1129"/>
      <c r="O28" s="1129"/>
      <c r="P28" s="3234"/>
      <c r="Q28" s="2935">
        <f t="shared" si="11"/>
        <v>111</v>
      </c>
      <c r="R28" s="771" t="s">
        <v>21</v>
      </c>
      <c r="S28" s="772">
        <f t="shared" si="12"/>
        <v>100</v>
      </c>
      <c r="T28" s="771" t="s">
        <v>21</v>
      </c>
      <c r="U28" s="772">
        <f t="shared" si="13"/>
        <v>100</v>
      </c>
      <c r="V28" s="771" t="s">
        <v>21</v>
      </c>
      <c r="W28" s="772">
        <f t="shared" si="14"/>
        <v>100</v>
      </c>
      <c r="X28" s="2933"/>
      <c r="Y28" s="3216"/>
      <c r="Z28" s="2934">
        <f t="shared" ref="Z28:Z46" si="18">Q28</f>
        <v>111</v>
      </c>
      <c r="AA28" s="2936">
        <f t="shared" si="15"/>
        <v>1</v>
      </c>
      <c r="AB28" s="2936">
        <f t="shared" si="16"/>
        <v>1</v>
      </c>
      <c r="AC28" s="2936">
        <f t="shared" si="17"/>
        <v>1</v>
      </c>
    </row>
    <row r="29" spans="1:29" ht="15.75" hidden="1" thickBot="1">
      <c r="A29" s="426"/>
      <c r="B29" s="1384">
        <v>111</v>
      </c>
      <c r="C29" s="432"/>
      <c r="D29" s="433">
        <v>100</v>
      </c>
      <c r="E29" s="432"/>
      <c r="F29" s="433">
        <f>SUMIF(94:94,E29,95:95)-SUMIF(94:94,C29,95:95)+100</f>
        <v>100</v>
      </c>
      <c r="G29" s="2609"/>
      <c r="H29" s="433">
        <f>SUMIF(94:94,G29,95:95)-SUMIF(94:94,C29,95:95)+100</f>
        <v>100</v>
      </c>
      <c r="I29" s="432"/>
      <c r="J29" s="433">
        <f>SUMIF(94:94,I29,95:95)-SUMIF(94:94,C29,95:95)+100</f>
        <v>100</v>
      </c>
      <c r="K29" s="2595"/>
      <c r="L29" s="1138"/>
      <c r="M29" s="1129"/>
      <c r="N29" s="1129"/>
      <c r="O29" s="1129"/>
      <c r="P29" s="3234"/>
      <c r="Q29" s="2935">
        <f t="shared" si="11"/>
        <v>111</v>
      </c>
      <c r="R29" s="771" t="s">
        <v>21</v>
      </c>
      <c r="S29" s="772">
        <f t="shared" si="12"/>
        <v>100</v>
      </c>
      <c r="T29" s="771" t="s">
        <v>21</v>
      </c>
      <c r="U29" s="772">
        <f t="shared" si="13"/>
        <v>100</v>
      </c>
      <c r="V29" s="771" t="s">
        <v>21</v>
      </c>
      <c r="W29" s="772">
        <f t="shared" si="14"/>
        <v>100</v>
      </c>
      <c r="X29" s="2933"/>
      <c r="Y29" s="3216"/>
      <c r="Z29" s="2934">
        <f t="shared" si="18"/>
        <v>111</v>
      </c>
      <c r="AA29" s="2936">
        <f t="shared" si="15"/>
        <v>1</v>
      </c>
      <c r="AB29" s="2936">
        <f t="shared" si="16"/>
        <v>1</v>
      </c>
      <c r="AC29" s="2936">
        <f t="shared" si="17"/>
        <v>1</v>
      </c>
    </row>
    <row r="30" spans="1:29" ht="15.75" hidden="1" thickBot="1">
      <c r="A30" s="426"/>
      <c r="B30" s="1384">
        <v>111</v>
      </c>
      <c r="C30" s="432"/>
      <c r="D30" s="433">
        <v>100</v>
      </c>
      <c r="E30" s="432"/>
      <c r="F30" s="433">
        <f>SUMIF(96:96,E30,97:97)-SUMIF(96:96,C30,97:97)+100</f>
        <v>100</v>
      </c>
      <c r="G30" s="2609"/>
      <c r="H30" s="433">
        <f>SUMIF(96:96,G30,97:97)-SUMIF(96:96,C30,97:97)+100</f>
        <v>100</v>
      </c>
      <c r="I30" s="432"/>
      <c r="J30" s="433">
        <f>SUMIF(96:96,I30,97:97)-SUMIF(96:96,C30,97:97)+100</f>
        <v>100</v>
      </c>
      <c r="K30" s="2595"/>
      <c r="L30" s="1138"/>
      <c r="M30" s="1129"/>
      <c r="N30" s="1129"/>
      <c r="O30" s="1129"/>
      <c r="P30" s="3234"/>
      <c r="Q30" s="2935">
        <f t="shared" si="11"/>
        <v>111</v>
      </c>
      <c r="R30" s="771" t="s">
        <v>21</v>
      </c>
      <c r="S30" s="772">
        <f t="shared" si="12"/>
        <v>100</v>
      </c>
      <c r="T30" s="771" t="s">
        <v>21</v>
      </c>
      <c r="U30" s="772">
        <f t="shared" si="13"/>
        <v>100</v>
      </c>
      <c r="V30" s="771" t="s">
        <v>21</v>
      </c>
      <c r="W30" s="772">
        <f t="shared" si="14"/>
        <v>100</v>
      </c>
      <c r="X30" s="2933"/>
      <c r="Y30" s="3216"/>
      <c r="Z30" s="2934">
        <f t="shared" si="18"/>
        <v>111</v>
      </c>
      <c r="AA30" s="2936">
        <f t="shared" si="15"/>
        <v>1</v>
      </c>
      <c r="AB30" s="2936">
        <f t="shared" si="16"/>
        <v>1</v>
      </c>
      <c r="AC30" s="2936">
        <f t="shared" si="17"/>
        <v>1</v>
      </c>
    </row>
    <row r="31" spans="1:29" ht="15.75" hidden="1" thickBot="1">
      <c r="A31" s="434"/>
      <c r="B31" s="1384">
        <v>111</v>
      </c>
      <c r="C31" s="435"/>
      <c r="D31" s="436">
        <v>100</v>
      </c>
      <c r="E31" s="435"/>
      <c r="F31" s="436">
        <f>SUMIF(98:98,E31,99:99)-SUMIF(98:98,C31,99:99)+100</f>
        <v>100</v>
      </c>
      <c r="G31" s="2610"/>
      <c r="H31" s="436">
        <f>SUMIF(98:98,G31,99:99)-SUMIF(98:98,C31,99:99)+100</f>
        <v>100</v>
      </c>
      <c r="I31" s="435"/>
      <c r="J31" s="436">
        <f>SUMIF(98:98,I31,99:99)-SUMIF(98:98,C31,99:99)+100</f>
        <v>100</v>
      </c>
      <c r="K31" s="2595"/>
      <c r="L31" s="1138"/>
      <c r="M31" s="1129"/>
      <c r="N31" s="1129"/>
      <c r="O31" s="1129"/>
      <c r="P31" s="3234"/>
      <c r="Q31" s="2935">
        <f t="shared" si="11"/>
        <v>111</v>
      </c>
      <c r="R31" s="771" t="s">
        <v>21</v>
      </c>
      <c r="S31" s="772">
        <f t="shared" si="12"/>
        <v>100</v>
      </c>
      <c r="T31" s="771" t="s">
        <v>21</v>
      </c>
      <c r="U31" s="772">
        <f t="shared" si="13"/>
        <v>100</v>
      </c>
      <c r="V31" s="771" t="s">
        <v>21</v>
      </c>
      <c r="W31" s="772">
        <f t="shared" si="14"/>
        <v>100</v>
      </c>
      <c r="X31" s="2933"/>
      <c r="Y31" s="3216"/>
      <c r="Z31" s="2934">
        <f t="shared" si="18"/>
        <v>111</v>
      </c>
      <c r="AA31" s="2936">
        <f t="shared" si="15"/>
        <v>1</v>
      </c>
      <c r="AB31" s="2936">
        <f t="shared" si="16"/>
        <v>1</v>
      </c>
      <c r="AC31" s="2936">
        <f t="shared" si="17"/>
        <v>1</v>
      </c>
    </row>
    <row r="32" spans="1:29" ht="15">
      <c r="A32" s="438" t="s">
        <v>2566</v>
      </c>
      <c r="B32" s="70" t="s">
        <v>2567</v>
      </c>
      <c r="C32" s="2611" t="s">
        <v>3141</v>
      </c>
      <c r="D32" s="465">
        <v>100</v>
      </c>
      <c r="E32" s="2611" t="s">
        <v>3141</v>
      </c>
      <c r="F32" s="459">
        <f>SUMIF(100:100,E32,101:101)-SUMIF(100:100,C32,101:101)+100</f>
        <v>100</v>
      </c>
      <c r="G32" s="2611" t="s">
        <v>3141</v>
      </c>
      <c r="H32" s="465">
        <f>SUMIF(100:100,G32,101:101)-SUMIF(100:100,C32,101:101)+100</f>
        <v>100</v>
      </c>
      <c r="I32" s="2611" t="s">
        <v>3141</v>
      </c>
      <c r="J32" s="433">
        <f>SUMIF(100:100,I32,101:101)-SUMIF(100:100,C32,101:101)+100</f>
        <v>100</v>
      </c>
      <c r="K32" s="424"/>
      <c r="L32" s="1138"/>
      <c r="M32" s="1129"/>
      <c r="N32" s="1129"/>
      <c r="O32" s="1129"/>
      <c r="P32" s="3235" t="s">
        <v>2568</v>
      </c>
      <c r="Q32" s="2935" t="str">
        <f t="shared" si="11"/>
        <v>建筑类型</v>
      </c>
      <c r="R32" s="771" t="s">
        <v>21</v>
      </c>
      <c r="S32" s="772">
        <f t="shared" si="12"/>
        <v>100</v>
      </c>
      <c r="T32" s="771" t="s">
        <v>21</v>
      </c>
      <c r="U32" s="772">
        <f t="shared" si="13"/>
        <v>100</v>
      </c>
      <c r="V32" s="771" t="s">
        <v>21</v>
      </c>
      <c r="W32" s="772">
        <f t="shared" si="14"/>
        <v>100</v>
      </c>
      <c r="X32" s="2933"/>
      <c r="Y32" s="3218" t="s">
        <v>2568</v>
      </c>
      <c r="Z32" s="2934" t="str">
        <f t="shared" si="18"/>
        <v>建筑类型</v>
      </c>
      <c r="AA32" s="2936">
        <f t="shared" si="15"/>
        <v>1</v>
      </c>
      <c r="AB32" s="2936">
        <f t="shared" si="16"/>
        <v>1</v>
      </c>
      <c r="AC32" s="2936">
        <f t="shared" si="17"/>
        <v>1</v>
      </c>
    </row>
    <row r="33" spans="1:29" s="469" customFormat="1" ht="15">
      <c r="A33" s="466"/>
      <c r="B33" s="2932" t="s">
        <v>2569</v>
      </c>
      <c r="C33" s="467">
        <f>'数据-基础表'!B3</f>
        <v>131497.4</v>
      </c>
      <c r="D33" s="133">
        <v>100</v>
      </c>
      <c r="E33" s="428">
        <v>450000</v>
      </c>
      <c r="F33" s="423">
        <f>LOOKUP(E33,103:103,104:104)-LOOKUP(C33,103:103,104:104)+100</f>
        <v>102</v>
      </c>
      <c r="G33" s="427">
        <v>477270</v>
      </c>
      <c r="H33" s="133">
        <f>LOOKUP(G33,103:103,104:104)-LOOKUP(C33,103:103,104:104)+100</f>
        <v>102</v>
      </c>
      <c r="I33" s="428">
        <v>387000</v>
      </c>
      <c r="J33" s="133">
        <f>LOOKUP(I33,103:103,104:104)-LOOKUP(C33,103:103,104:104)+100</f>
        <v>101</v>
      </c>
      <c r="K33" s="2595"/>
      <c r="L33" s="1136"/>
      <c r="M33" s="1139"/>
      <c r="N33" s="1139"/>
      <c r="O33" s="1139"/>
      <c r="P33" s="3236"/>
      <c r="Q33" s="773" t="str">
        <f t="shared" si="11"/>
        <v>项目建筑规模</v>
      </c>
      <c r="R33" s="774" t="s">
        <v>21</v>
      </c>
      <c r="S33" s="775">
        <f t="shared" si="12"/>
        <v>102</v>
      </c>
      <c r="T33" s="774" t="s">
        <v>21</v>
      </c>
      <c r="U33" s="775">
        <f t="shared" si="13"/>
        <v>102</v>
      </c>
      <c r="V33" s="774" t="s">
        <v>21</v>
      </c>
      <c r="W33" s="775">
        <f t="shared" si="14"/>
        <v>101</v>
      </c>
      <c r="X33" s="776"/>
      <c r="Y33" s="3218"/>
      <c r="Z33" s="777" t="str">
        <f t="shared" si="18"/>
        <v>项目建筑规模</v>
      </c>
      <c r="AA33" s="2936">
        <f t="shared" si="15"/>
        <v>0.98039215686274506</v>
      </c>
      <c r="AB33" s="2936">
        <f t="shared" si="16"/>
        <v>0.98039215686274506</v>
      </c>
      <c r="AC33" s="2936">
        <f t="shared" si="17"/>
        <v>0.99009900990099009</v>
      </c>
    </row>
    <row r="34" spans="1:29" ht="15">
      <c r="A34" s="470"/>
      <c r="B34" s="2932" t="s">
        <v>2570</v>
      </c>
      <c r="C34" s="2612" t="s">
        <v>3134</v>
      </c>
      <c r="D34" s="433">
        <v>100</v>
      </c>
      <c r="E34" s="2612" t="s">
        <v>3134</v>
      </c>
      <c r="F34" s="459">
        <f>SUMIF(105:105,E34,106:106)-SUMIF(105:105,C34,106:106)+100</f>
        <v>100</v>
      </c>
      <c r="G34" s="2612" t="s">
        <v>3134</v>
      </c>
      <c r="H34" s="433">
        <f>SUMIF(105:105,G34,106:106)-SUMIF(105:105,C34,106:106)+100</f>
        <v>100</v>
      </c>
      <c r="I34" s="2612" t="s">
        <v>3134</v>
      </c>
      <c r="J34" s="433">
        <f>SUMIF(105:105,I34,106:106)-SUMIF(105:105,C34,106:106)+100</f>
        <v>100</v>
      </c>
      <c r="K34" s="424"/>
      <c r="L34" s="1138"/>
      <c r="M34" s="1129"/>
      <c r="N34" s="1129"/>
      <c r="O34" s="1129"/>
      <c r="P34" s="3236"/>
      <c r="Q34" s="2935" t="str">
        <f t="shared" si="11"/>
        <v>建筑结构</v>
      </c>
      <c r="R34" s="771" t="s">
        <v>21</v>
      </c>
      <c r="S34" s="772">
        <f t="shared" si="12"/>
        <v>100</v>
      </c>
      <c r="T34" s="771" t="s">
        <v>21</v>
      </c>
      <c r="U34" s="772">
        <f t="shared" si="13"/>
        <v>100</v>
      </c>
      <c r="V34" s="771" t="s">
        <v>21</v>
      </c>
      <c r="W34" s="772">
        <f t="shared" si="14"/>
        <v>100</v>
      </c>
      <c r="X34" s="2933"/>
      <c r="Y34" s="3218"/>
      <c r="Z34" s="2934" t="str">
        <f t="shared" si="18"/>
        <v>建筑结构</v>
      </c>
      <c r="AA34" s="2936">
        <f t="shared" si="15"/>
        <v>1</v>
      </c>
      <c r="AB34" s="2936">
        <f t="shared" si="16"/>
        <v>1</v>
      </c>
      <c r="AC34" s="2936">
        <f t="shared" si="17"/>
        <v>1</v>
      </c>
    </row>
    <row r="35" spans="1:29" ht="15">
      <c r="A35" s="470"/>
      <c r="B35" s="2932" t="s">
        <v>2571</v>
      </c>
      <c r="C35" s="2607" t="s">
        <v>3144</v>
      </c>
      <c r="D35" s="433">
        <v>100</v>
      </c>
      <c r="E35" s="2607" t="s">
        <v>3144</v>
      </c>
      <c r="F35" s="459">
        <f>SUMIF(107:107,E35,108:108)-SUMIF(107:107,C35,108:108)+100</f>
        <v>100</v>
      </c>
      <c r="G35" s="2607" t="s">
        <v>3144</v>
      </c>
      <c r="H35" s="433">
        <f>SUMIF(107:107,G35,108:108)-SUMIF(107:107,C35,108:108)+100</f>
        <v>100</v>
      </c>
      <c r="I35" s="2607" t="s">
        <v>3144</v>
      </c>
      <c r="J35" s="433">
        <f>SUMIF(107:107,I35,108:108)-SUMIF(107:107,C35,108:108)+100</f>
        <v>100</v>
      </c>
      <c r="K35" s="424"/>
      <c r="L35" s="1138"/>
      <c r="M35" s="1129"/>
      <c r="N35" s="1129"/>
      <c r="O35" s="1129"/>
      <c r="P35" s="3236"/>
      <c r="Q35" s="2935" t="str">
        <f t="shared" si="11"/>
        <v>建筑品质</v>
      </c>
      <c r="R35" s="771" t="s">
        <v>21</v>
      </c>
      <c r="S35" s="772">
        <f t="shared" si="12"/>
        <v>100</v>
      </c>
      <c r="T35" s="771" t="s">
        <v>21</v>
      </c>
      <c r="U35" s="772">
        <f t="shared" si="13"/>
        <v>100</v>
      </c>
      <c r="V35" s="771" t="s">
        <v>21</v>
      </c>
      <c r="W35" s="772">
        <f t="shared" si="14"/>
        <v>100</v>
      </c>
      <c r="X35" s="2933"/>
      <c r="Y35" s="3218"/>
      <c r="Z35" s="2934" t="str">
        <f t="shared" si="18"/>
        <v>建筑品质</v>
      </c>
      <c r="AA35" s="2936">
        <f t="shared" si="15"/>
        <v>1</v>
      </c>
      <c r="AB35" s="2936">
        <f t="shared" si="16"/>
        <v>1</v>
      </c>
      <c r="AC35" s="2936">
        <f t="shared" si="17"/>
        <v>1</v>
      </c>
    </row>
    <row r="36" spans="1:29" ht="15">
      <c r="A36" s="470"/>
      <c r="B36" s="2932" t="s">
        <v>2572</v>
      </c>
      <c r="C36" s="2607" t="s">
        <v>3146</v>
      </c>
      <c r="D36" s="433">
        <v>100</v>
      </c>
      <c r="E36" s="2607" t="s">
        <v>3146</v>
      </c>
      <c r="F36" s="459">
        <f>SUMIF(109:109,E36,110:110)-SUMIF(109:109,C36,110:110)+100</f>
        <v>100</v>
      </c>
      <c r="G36" s="2607" t="s">
        <v>3146</v>
      </c>
      <c r="H36" s="433">
        <f>SUMIF(109:109,G36,110:110)-SUMIF(109:109,C36,110:110)+100</f>
        <v>100</v>
      </c>
      <c r="I36" s="2607" t="s">
        <v>3146</v>
      </c>
      <c r="J36" s="433">
        <f>SUMIF(109:109,I36,110:110)-SUMIF(109:109,C36,110:110)+100</f>
        <v>100</v>
      </c>
      <c r="K36" s="424"/>
      <c r="L36" s="1138"/>
      <c r="M36" s="1129"/>
      <c r="N36" s="1129"/>
      <c r="O36" s="1129"/>
      <c r="P36" s="3236"/>
      <c r="Q36" s="2935" t="str">
        <f t="shared" si="11"/>
        <v>公共部分装修</v>
      </c>
      <c r="R36" s="771" t="s">
        <v>21</v>
      </c>
      <c r="S36" s="772">
        <f t="shared" si="12"/>
        <v>100</v>
      </c>
      <c r="T36" s="771" t="s">
        <v>21</v>
      </c>
      <c r="U36" s="772">
        <f t="shared" si="13"/>
        <v>100</v>
      </c>
      <c r="V36" s="771" t="s">
        <v>21</v>
      </c>
      <c r="W36" s="772">
        <f t="shared" si="14"/>
        <v>100</v>
      </c>
      <c r="X36" s="2933"/>
      <c r="Y36" s="3218"/>
      <c r="Z36" s="2934" t="str">
        <f t="shared" si="18"/>
        <v>公共部分装修</v>
      </c>
      <c r="AA36" s="2936">
        <f t="shared" si="15"/>
        <v>1</v>
      </c>
      <c r="AB36" s="2936">
        <f t="shared" si="16"/>
        <v>1</v>
      </c>
      <c r="AC36" s="2936">
        <f t="shared" si="17"/>
        <v>1</v>
      </c>
    </row>
    <row r="37" spans="1:29" s="115" customFormat="1" ht="15">
      <c r="A37" s="471"/>
      <c r="B37" s="2932" t="s">
        <v>2573</v>
      </c>
      <c r="C37" s="472">
        <v>1</v>
      </c>
      <c r="D37" s="133">
        <v>100</v>
      </c>
      <c r="E37" s="472">
        <v>1</v>
      </c>
      <c r="F37" s="423">
        <f>LOOKUP(E37,112:112,113:113)-LOOKUP(C37,112:112,113:113)+100</f>
        <v>100</v>
      </c>
      <c r="G37" s="472">
        <v>1</v>
      </c>
      <c r="H37" s="133">
        <f>LOOKUP(G37,112:112,113:113)-LOOKUP(C37,112:112,113:113)+100</f>
        <v>100</v>
      </c>
      <c r="I37" s="472">
        <v>1</v>
      </c>
      <c r="J37" s="133">
        <f>LOOKUP(I37,112:112,113:113)-LOOKUP(C37,112:112,113:113)+100</f>
        <v>100</v>
      </c>
      <c r="K37" s="424"/>
      <c r="L37" s="1130"/>
      <c r="M37" s="1131"/>
      <c r="N37" s="1131"/>
      <c r="O37" s="1131"/>
      <c r="P37" s="3236"/>
      <c r="Q37" s="2930" t="str">
        <f t="shared" si="11"/>
        <v>成新度</v>
      </c>
      <c r="R37" s="767" t="s">
        <v>21</v>
      </c>
      <c r="S37" s="768">
        <f t="shared" si="12"/>
        <v>100</v>
      </c>
      <c r="T37" s="767" t="s">
        <v>21</v>
      </c>
      <c r="U37" s="768">
        <f t="shared" si="13"/>
        <v>100</v>
      </c>
      <c r="V37" s="767" t="s">
        <v>21</v>
      </c>
      <c r="W37" s="768">
        <f t="shared" si="14"/>
        <v>100</v>
      </c>
      <c r="X37" s="769"/>
      <c r="Y37" s="3218"/>
      <c r="Z37" s="2931" t="str">
        <f t="shared" si="18"/>
        <v>成新度</v>
      </c>
      <c r="AA37" s="770">
        <f t="shared" si="15"/>
        <v>1</v>
      </c>
      <c r="AB37" s="770">
        <f t="shared" si="16"/>
        <v>1</v>
      </c>
      <c r="AC37" s="770">
        <f t="shared" si="17"/>
        <v>1</v>
      </c>
    </row>
    <row r="38" spans="1:29" ht="15">
      <c r="A38" s="470"/>
      <c r="B38" s="2932" t="s">
        <v>2574</v>
      </c>
      <c r="C38" s="2607" t="s">
        <v>3148</v>
      </c>
      <c r="D38" s="433">
        <v>100</v>
      </c>
      <c r="E38" s="2607" t="s">
        <v>3148</v>
      </c>
      <c r="F38" s="459">
        <f>SUMIF(114:114,E38,115:115)-SUMIF(114:114,C38,115:115)+100</f>
        <v>100</v>
      </c>
      <c r="G38" s="2607" t="s">
        <v>3148</v>
      </c>
      <c r="H38" s="433">
        <f>SUMIF(114:114,G38,115:115)-SUMIF(114:114,C38,115:115)+100</f>
        <v>100</v>
      </c>
      <c r="I38" s="2607" t="s">
        <v>3148</v>
      </c>
      <c r="J38" s="433">
        <f>SUMIF(114:114,I38,115:115)-SUMIF(114:114,C38,115:115)+100</f>
        <v>100</v>
      </c>
      <c r="K38" s="424"/>
      <c r="L38" s="1138"/>
      <c r="M38" s="1129"/>
      <c r="N38" s="1129"/>
      <c r="O38" s="1129"/>
      <c r="P38" s="3236" t="s">
        <v>2568</v>
      </c>
      <c r="Q38" s="2935" t="str">
        <f t="shared" si="11"/>
        <v>物业管理</v>
      </c>
      <c r="R38" s="771" t="s">
        <v>21</v>
      </c>
      <c r="S38" s="772">
        <f t="shared" si="12"/>
        <v>100</v>
      </c>
      <c r="T38" s="771" t="s">
        <v>21</v>
      </c>
      <c r="U38" s="772">
        <f t="shared" si="13"/>
        <v>100</v>
      </c>
      <c r="V38" s="771" t="s">
        <v>21</v>
      </c>
      <c r="W38" s="772">
        <f t="shared" si="14"/>
        <v>100</v>
      </c>
      <c r="X38" s="2933"/>
      <c r="Y38" s="3218" t="s">
        <v>2568</v>
      </c>
      <c r="Z38" s="2934" t="str">
        <f t="shared" si="18"/>
        <v>物业管理</v>
      </c>
      <c r="AA38" s="2936">
        <f t="shared" si="15"/>
        <v>1</v>
      </c>
      <c r="AB38" s="2936">
        <f t="shared" si="16"/>
        <v>1</v>
      </c>
      <c r="AC38" s="2936">
        <f t="shared" si="17"/>
        <v>1</v>
      </c>
    </row>
    <row r="39" spans="1:29" ht="15">
      <c r="A39" s="470"/>
      <c r="B39" s="2932" t="s">
        <v>2575</v>
      </c>
      <c r="C39" s="2607" t="s">
        <v>3112</v>
      </c>
      <c r="D39" s="433">
        <v>100</v>
      </c>
      <c r="E39" s="2607" t="s">
        <v>3112</v>
      </c>
      <c r="F39" s="459">
        <f>SUMIF(116:116,E39,117:117)-SUMIF(116:116,C39,117:117)+100</f>
        <v>100</v>
      </c>
      <c r="G39" s="2607" t="s">
        <v>3112</v>
      </c>
      <c r="H39" s="433">
        <f>SUMIF(116:116,G39,117:117)-SUMIF(116:116,C39,117:117)+100</f>
        <v>100</v>
      </c>
      <c r="I39" s="2607" t="s">
        <v>3112</v>
      </c>
      <c r="J39" s="433">
        <f>SUMIF(116:116,I39,117:117)-SUMIF(116:116,C39,117:117)+100</f>
        <v>100</v>
      </c>
      <c r="K39" s="424"/>
      <c r="L39" s="1138"/>
      <c r="M39" s="1129"/>
      <c r="N39" s="1129"/>
      <c r="O39" s="1129"/>
      <c r="P39" s="3236"/>
      <c r="Q39" s="2935" t="str">
        <f t="shared" si="11"/>
        <v>市政基础设施</v>
      </c>
      <c r="R39" s="771" t="s">
        <v>21</v>
      </c>
      <c r="S39" s="772">
        <f t="shared" si="12"/>
        <v>100</v>
      </c>
      <c r="T39" s="771" t="s">
        <v>21</v>
      </c>
      <c r="U39" s="772">
        <f t="shared" si="13"/>
        <v>100</v>
      </c>
      <c r="V39" s="771" t="s">
        <v>21</v>
      </c>
      <c r="W39" s="772">
        <f t="shared" si="14"/>
        <v>100</v>
      </c>
      <c r="X39" s="2933"/>
      <c r="Y39" s="3218"/>
      <c r="Z39" s="2934" t="str">
        <f t="shared" si="18"/>
        <v>市政基础设施</v>
      </c>
      <c r="AA39" s="2936">
        <f t="shared" si="15"/>
        <v>1</v>
      </c>
      <c r="AB39" s="2936">
        <f t="shared" si="16"/>
        <v>1</v>
      </c>
      <c r="AC39" s="2936">
        <f t="shared" si="17"/>
        <v>1</v>
      </c>
    </row>
    <row r="40" spans="1:29" ht="15">
      <c r="A40" s="470"/>
      <c r="B40" s="2932" t="s">
        <v>2576</v>
      </c>
      <c r="C40" s="2607" t="s">
        <v>3150</v>
      </c>
      <c r="D40" s="433">
        <v>100</v>
      </c>
      <c r="E40" s="2607" t="s">
        <v>3150</v>
      </c>
      <c r="F40" s="459">
        <f>SUMIF(118:118,E40,119:119)-SUMIF(118:118,C40,119:119)+100</f>
        <v>100</v>
      </c>
      <c r="G40" s="2607" t="s">
        <v>3150</v>
      </c>
      <c r="H40" s="433">
        <f>SUMIF(118:118,G40,119:119)-SUMIF(118:118,C40,119:119)+100</f>
        <v>100</v>
      </c>
      <c r="I40" s="2607" t="s">
        <v>3150</v>
      </c>
      <c r="J40" s="433">
        <f>SUMIF(118:118,I40,119:119)-SUMIF(118:118,C40,119:119)+100</f>
        <v>100</v>
      </c>
      <c r="K40" s="424"/>
      <c r="L40" s="1138"/>
      <c r="M40" s="1129"/>
      <c r="N40" s="1129"/>
      <c r="O40" s="1129"/>
      <c r="P40" s="3236"/>
      <c r="Q40" s="2935" t="str">
        <f t="shared" si="11"/>
        <v>房型</v>
      </c>
      <c r="R40" s="771" t="s">
        <v>21</v>
      </c>
      <c r="S40" s="772">
        <f t="shared" si="12"/>
        <v>100</v>
      </c>
      <c r="T40" s="771" t="s">
        <v>21</v>
      </c>
      <c r="U40" s="772">
        <f t="shared" si="13"/>
        <v>100</v>
      </c>
      <c r="V40" s="771" t="s">
        <v>21</v>
      </c>
      <c r="W40" s="772">
        <f t="shared" si="14"/>
        <v>100</v>
      </c>
      <c r="X40" s="2933"/>
      <c r="Y40" s="3218"/>
      <c r="Z40" s="2934" t="str">
        <f t="shared" si="18"/>
        <v>房型</v>
      </c>
      <c r="AA40" s="2936">
        <f t="shared" si="15"/>
        <v>1</v>
      </c>
      <c r="AB40" s="2936">
        <f t="shared" si="16"/>
        <v>1</v>
      </c>
      <c r="AC40" s="2936">
        <f t="shared" si="17"/>
        <v>1</v>
      </c>
    </row>
    <row r="41" spans="1:29" s="469" customFormat="1" ht="28.5" hidden="1">
      <c r="A41" s="466"/>
      <c r="B41" s="2932" t="s">
        <v>2577</v>
      </c>
      <c r="C41" s="467"/>
      <c r="D41" s="133">
        <v>100</v>
      </c>
      <c r="E41" s="467"/>
      <c r="F41" s="423">
        <f>SUMIF(120:120,E41,121:121)-SUMIF(120:120,C41,121:121)+100</f>
        <v>100</v>
      </c>
      <c r="G41" s="467"/>
      <c r="H41" s="133">
        <f>SUMIF(120:120,G41,121:121)-SUMIF(120:120,C41,121:121)+100</f>
        <v>100</v>
      </c>
      <c r="I41" s="467"/>
      <c r="J41" s="433">
        <f>SUMIF(120:120,I41,121:121)-SUMIF(120:120,C41,121:121)+100</f>
        <v>100</v>
      </c>
      <c r="K41" s="2595"/>
      <c r="L41" s="1136"/>
      <c r="M41" s="1139"/>
      <c r="N41" s="1139"/>
      <c r="O41" s="1139"/>
      <c r="P41" s="3236"/>
      <c r="Q41" s="773" t="str">
        <f t="shared" si="11"/>
        <v>单套/主力户型建筑面积</v>
      </c>
      <c r="R41" s="774" t="s">
        <v>21</v>
      </c>
      <c r="S41" s="775">
        <f t="shared" si="12"/>
        <v>100</v>
      </c>
      <c r="T41" s="774" t="s">
        <v>21</v>
      </c>
      <c r="U41" s="775">
        <f t="shared" si="13"/>
        <v>100</v>
      </c>
      <c r="V41" s="774" t="s">
        <v>21</v>
      </c>
      <c r="W41" s="775">
        <f t="shared" si="14"/>
        <v>100</v>
      </c>
      <c r="X41" s="776"/>
      <c r="Y41" s="3218"/>
      <c r="Z41" s="777" t="str">
        <f t="shared" si="18"/>
        <v>单套/主力户型建筑面积</v>
      </c>
      <c r="AA41" s="2936">
        <f t="shared" si="15"/>
        <v>1</v>
      </c>
      <c r="AB41" s="2936">
        <f t="shared" si="16"/>
        <v>1</v>
      </c>
      <c r="AC41" s="2936">
        <f t="shared" si="17"/>
        <v>1</v>
      </c>
    </row>
    <row r="42" spans="1:29" ht="15">
      <c r="A42" s="470"/>
      <c r="B42" s="2932" t="s">
        <v>2578</v>
      </c>
      <c r="C42" s="2607" t="s">
        <v>3146</v>
      </c>
      <c r="D42" s="433">
        <v>100</v>
      </c>
      <c r="E42" s="2607" t="s">
        <v>3153</v>
      </c>
      <c r="F42" s="459">
        <f>SUMIF(122:122,E42,123:123)-SUMIF(122:122,C42,123:123)+100</f>
        <v>94</v>
      </c>
      <c r="G42" s="2607" t="s">
        <v>3153</v>
      </c>
      <c r="H42" s="433">
        <f>SUMIF(122:122,G42,123:123)-SUMIF(122:122,C42,123:123)+100</f>
        <v>94</v>
      </c>
      <c r="I42" s="2607" t="s">
        <v>3146</v>
      </c>
      <c r="J42" s="433">
        <f>SUMIF(122:122,I42,123:123)-SUMIF(122:122,C42,123:123)+100</f>
        <v>100</v>
      </c>
      <c r="K42" s="424">
        <v>2</v>
      </c>
      <c r="L42" s="1138"/>
      <c r="M42" s="1129"/>
      <c r="N42" s="1129"/>
      <c r="O42" s="1129"/>
      <c r="P42" s="3236"/>
      <c r="Q42" s="2935" t="str">
        <f t="shared" si="11"/>
        <v>内部装修</v>
      </c>
      <c r="R42" s="771" t="s">
        <v>21</v>
      </c>
      <c r="S42" s="772">
        <f t="shared" si="12"/>
        <v>94</v>
      </c>
      <c r="T42" s="771" t="s">
        <v>21</v>
      </c>
      <c r="U42" s="772">
        <f t="shared" si="13"/>
        <v>94</v>
      </c>
      <c r="V42" s="771" t="s">
        <v>21</v>
      </c>
      <c r="W42" s="772">
        <f t="shared" si="14"/>
        <v>100</v>
      </c>
      <c r="X42" s="2933"/>
      <c r="Y42" s="3218"/>
      <c r="Z42" s="2934" t="str">
        <f t="shared" si="18"/>
        <v>内部装修</v>
      </c>
      <c r="AA42" s="2936">
        <f t="shared" si="15"/>
        <v>1.0638297872340425</v>
      </c>
      <c r="AB42" s="2936">
        <f t="shared" si="16"/>
        <v>1.0638297872340425</v>
      </c>
      <c r="AC42" s="2936">
        <f t="shared" si="17"/>
        <v>1</v>
      </c>
    </row>
    <row r="43" spans="1:29" ht="15.75" thickBot="1">
      <c r="A43" s="470"/>
      <c r="B43" s="2932" t="s">
        <v>2579</v>
      </c>
      <c r="C43" s="2607" t="s">
        <v>3111</v>
      </c>
      <c r="D43" s="433">
        <v>100</v>
      </c>
      <c r="E43" s="2607" t="s">
        <v>3111</v>
      </c>
      <c r="F43" s="459">
        <f>SUMIF(124:124,E43,125:125)-SUMIF(124:124,C43,125:125)+100</f>
        <v>100</v>
      </c>
      <c r="G43" s="2607" t="s">
        <v>3111</v>
      </c>
      <c r="H43" s="433">
        <f>SUMIF(124:124,G43,125:125)-SUMIF(124:124,C43,125:125)+100</f>
        <v>100</v>
      </c>
      <c r="I43" s="2607" t="s">
        <v>3111</v>
      </c>
      <c r="J43" s="433">
        <f>SUMIF(124:124,I43,125:125)-SUMIF(124:124,C43,125:125)+100</f>
        <v>100</v>
      </c>
      <c r="K43" s="424"/>
      <c r="L43" s="1138"/>
      <c r="M43" s="1129"/>
      <c r="N43" s="1129"/>
      <c r="O43" s="1129"/>
      <c r="P43" s="3236"/>
      <c r="Q43" s="2935" t="str">
        <f t="shared" si="11"/>
        <v>内部装修维护情况</v>
      </c>
      <c r="R43" s="771" t="s">
        <v>21</v>
      </c>
      <c r="S43" s="772">
        <f t="shared" si="12"/>
        <v>100</v>
      </c>
      <c r="T43" s="771" t="s">
        <v>21</v>
      </c>
      <c r="U43" s="772">
        <f t="shared" si="13"/>
        <v>100</v>
      </c>
      <c r="V43" s="771" t="s">
        <v>21</v>
      </c>
      <c r="W43" s="772">
        <f t="shared" si="14"/>
        <v>100</v>
      </c>
      <c r="X43" s="2933"/>
      <c r="Y43" s="3218"/>
      <c r="Z43" s="2934" t="str">
        <f t="shared" si="18"/>
        <v>内部装修维护情况</v>
      </c>
      <c r="AA43" s="2936">
        <f t="shared" si="15"/>
        <v>1</v>
      </c>
      <c r="AB43" s="2936">
        <f t="shared" si="16"/>
        <v>1</v>
      </c>
      <c r="AC43" s="2936">
        <f t="shared" si="17"/>
        <v>1</v>
      </c>
    </row>
    <row r="44" spans="1:29" s="115" customFormat="1" ht="15.75" hidden="1" thickBot="1">
      <c r="A44" s="471"/>
      <c r="B44" s="1384">
        <v>111</v>
      </c>
      <c r="C44" s="467"/>
      <c r="D44" s="133">
        <v>100</v>
      </c>
      <c r="E44" s="467"/>
      <c r="F44" s="423">
        <f>SUMIF(126:126,E44,127:127)-SUMIF(126:126,C44,127:127)+100</f>
        <v>100</v>
      </c>
      <c r="G44" s="467"/>
      <c r="H44" s="133">
        <f>SUMIF(126:126,G44,127:127)-SUMIF(126:126,C44,127:127)+100</f>
        <v>100</v>
      </c>
      <c r="I44" s="467"/>
      <c r="J44" s="133">
        <f>SUMIF(126:126,I44,127:127)-SUMIF(126:126,C44,127:127)+100</f>
        <v>100</v>
      </c>
      <c r="K44" s="2595"/>
      <c r="L44" s="1130"/>
      <c r="M44" s="1131"/>
      <c r="N44" s="1131"/>
      <c r="O44" s="1131"/>
      <c r="P44" s="3236"/>
      <c r="Q44" s="2930">
        <f t="shared" si="11"/>
        <v>111</v>
      </c>
      <c r="R44" s="767" t="s">
        <v>21</v>
      </c>
      <c r="S44" s="768">
        <f t="shared" si="12"/>
        <v>100</v>
      </c>
      <c r="T44" s="767" t="s">
        <v>21</v>
      </c>
      <c r="U44" s="768">
        <f t="shared" si="13"/>
        <v>100</v>
      </c>
      <c r="V44" s="767" t="s">
        <v>21</v>
      </c>
      <c r="W44" s="768">
        <f t="shared" si="14"/>
        <v>100</v>
      </c>
      <c r="X44" s="769"/>
      <c r="Y44" s="3218"/>
      <c r="Z44" s="2931">
        <f t="shared" si="18"/>
        <v>111</v>
      </c>
      <c r="AA44" s="770">
        <f t="shared" si="15"/>
        <v>1</v>
      </c>
      <c r="AB44" s="770">
        <f t="shared" si="16"/>
        <v>1</v>
      </c>
      <c r="AC44" s="770">
        <f t="shared" si="17"/>
        <v>1</v>
      </c>
    </row>
    <row r="45" spans="1:29" ht="15.75" hidden="1" thickBot="1">
      <c r="A45" s="470"/>
      <c r="B45" s="1384">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5"/>
      <c r="L45" s="1138"/>
      <c r="M45" s="1129"/>
      <c r="N45" s="1129"/>
      <c r="O45" s="1129"/>
      <c r="P45" s="3236"/>
      <c r="Q45" s="2935">
        <f t="shared" si="11"/>
        <v>111</v>
      </c>
      <c r="R45" s="771" t="s">
        <v>21</v>
      </c>
      <c r="S45" s="772">
        <f t="shared" si="12"/>
        <v>100</v>
      </c>
      <c r="T45" s="771" t="s">
        <v>21</v>
      </c>
      <c r="U45" s="772">
        <f t="shared" si="13"/>
        <v>100</v>
      </c>
      <c r="V45" s="771" t="s">
        <v>21</v>
      </c>
      <c r="W45" s="772">
        <f t="shared" si="14"/>
        <v>100</v>
      </c>
      <c r="X45" s="2933"/>
      <c r="Y45" s="3218"/>
      <c r="Z45" s="2934">
        <f t="shared" si="18"/>
        <v>111</v>
      </c>
      <c r="AA45" s="2936">
        <f t="shared" si="15"/>
        <v>1</v>
      </c>
      <c r="AB45" s="2936">
        <f t="shared" si="16"/>
        <v>1</v>
      </c>
      <c r="AC45" s="2936">
        <f t="shared" si="17"/>
        <v>1</v>
      </c>
    </row>
    <row r="46" spans="1:29" ht="15.75" hidden="1" thickBot="1">
      <c r="A46" s="476"/>
      <c r="B46" s="2596">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5"/>
      <c r="L46" s="1138"/>
      <c r="M46" s="1129"/>
      <c r="N46" s="1129"/>
      <c r="O46" s="1129"/>
      <c r="P46" s="3237"/>
      <c r="Q46" s="2935">
        <f t="shared" si="11"/>
        <v>111</v>
      </c>
      <c r="R46" s="771" t="s">
        <v>20</v>
      </c>
      <c r="S46" s="772">
        <f t="shared" si="12"/>
        <v>100</v>
      </c>
      <c r="T46" s="771" t="s">
        <v>20</v>
      </c>
      <c r="U46" s="772">
        <f t="shared" si="13"/>
        <v>100</v>
      </c>
      <c r="V46" s="771" t="s">
        <v>20</v>
      </c>
      <c r="W46" s="772">
        <f t="shared" si="14"/>
        <v>100</v>
      </c>
      <c r="X46" s="2933"/>
      <c r="Y46" s="3238"/>
      <c r="Z46" s="2934">
        <f t="shared" si="18"/>
        <v>111</v>
      </c>
      <c r="AA46" s="2936">
        <f t="shared" si="15"/>
        <v>1</v>
      </c>
      <c r="AB46" s="2936">
        <f t="shared" si="16"/>
        <v>1</v>
      </c>
      <c r="AC46" s="2936">
        <f t="shared" si="17"/>
        <v>1</v>
      </c>
    </row>
    <row r="47" spans="1:29" ht="15">
      <c r="A47" s="477" t="s">
        <v>2580</v>
      </c>
      <c r="B47" s="478"/>
      <c r="C47" s="1404" t="s">
        <v>19</v>
      </c>
      <c r="D47" s="1405"/>
      <c r="E47" s="1406">
        <v>23000</v>
      </c>
      <c r="F47" s="1407"/>
      <c r="G47" s="1408">
        <v>24000</v>
      </c>
      <c r="H47" s="1409"/>
      <c r="I47" s="1406">
        <v>26800</v>
      </c>
      <c r="J47" s="1409"/>
      <c r="K47" s="2613"/>
      <c r="L47" s="1141"/>
      <c r="M47" s="1142"/>
      <c r="N47" s="1129"/>
      <c r="O47" s="1142"/>
      <c r="P47" s="3200" t="str">
        <f>A47</f>
        <v>成交单价（元/平方米）</v>
      </c>
      <c r="Q47" s="3200"/>
      <c r="R47" s="3231">
        <f>E47</f>
        <v>23000</v>
      </c>
      <c r="S47" s="3231"/>
      <c r="T47" s="3231">
        <f>G47</f>
        <v>24000</v>
      </c>
      <c r="U47" s="3231"/>
      <c r="V47" s="3231">
        <f>I47</f>
        <v>26800</v>
      </c>
      <c r="W47" s="3231"/>
      <c r="X47" s="756"/>
      <c r="Y47" s="778"/>
      <c r="Z47" s="756"/>
      <c r="AA47" s="756"/>
      <c r="AB47" s="756"/>
      <c r="AC47" s="756"/>
    </row>
    <row r="48" spans="1:29" ht="15.75" thickBot="1">
      <c r="A48" s="484" t="s">
        <v>2581</v>
      </c>
      <c r="B48" s="485"/>
      <c r="C48" s="1410">
        <f>R49</f>
        <v>25097</v>
      </c>
      <c r="D48" s="1411"/>
      <c r="E48" s="1412">
        <f>R48</f>
        <v>24478</v>
      </c>
      <c r="F48" s="1412"/>
      <c r="G48" s="1410">
        <f>T48</f>
        <v>24798</v>
      </c>
      <c r="H48" s="1411"/>
      <c r="I48" s="1412">
        <f>V48</f>
        <v>26014</v>
      </c>
      <c r="J48" s="1411"/>
      <c r="K48" s="2614"/>
      <c r="L48" s="1141"/>
      <c r="M48" s="1142"/>
      <c r="N48" s="1142"/>
      <c r="O48" s="1142"/>
      <c r="P48" s="3200" t="str">
        <f>A48</f>
        <v>比较价值（元/平方米）</v>
      </c>
      <c r="Q48" s="3200"/>
      <c r="R48" s="3231">
        <f>IF(F1="售价",ROUND(PRODUCT(R47,AA7:AA46),0),ROUND(PRODUCT(R47,AA7:AA46),1))</f>
        <v>24478</v>
      </c>
      <c r="S48" s="3231"/>
      <c r="T48" s="3231">
        <f>IF(F1="售价",ROUND(PRODUCT(T47,AB7:AB46),0),ROUND(PRODUCT(T47,AB7:AB46),1))</f>
        <v>24798</v>
      </c>
      <c r="U48" s="3231"/>
      <c r="V48" s="3231">
        <f>IF(F1="售价",ROUND(PRODUCT(V47,AC7:AC46),0),ROUND(PRODUCT(V47,AC7:AC46),1))</f>
        <v>26014</v>
      </c>
      <c r="W48" s="3231"/>
      <c r="X48" s="756"/>
      <c r="Y48" s="756"/>
      <c r="Z48" s="756"/>
      <c r="AA48" s="756"/>
      <c r="AB48" s="756"/>
      <c r="AC48" s="756"/>
    </row>
    <row r="49" spans="1:29" ht="15.75" thickBot="1">
      <c r="A49" s="490" t="s">
        <v>2582</v>
      </c>
      <c r="B49" s="491"/>
      <c r="C49" s="1413">
        <f>R49</f>
        <v>25097</v>
      </c>
      <c r="D49" s="1414"/>
      <c r="E49" s="1414"/>
      <c r="F49" s="1414"/>
      <c r="G49" s="1414"/>
      <c r="H49" s="1414"/>
      <c r="I49" s="1414"/>
      <c r="J49" s="1414"/>
      <c r="K49" s="2615"/>
      <c r="L49" s="1141"/>
      <c r="M49" s="1142"/>
      <c r="N49" s="1142"/>
      <c r="O49" s="1142"/>
      <c r="P49" s="3220" t="str">
        <f>A49</f>
        <v>估价对象XX用房的比较价值（楼面单价，元/平方米）</v>
      </c>
      <c r="Q49" s="3221"/>
      <c r="R49" s="3232">
        <f>IF(F1="售价",ROUND(AVERAGE(R48:V48),0),ROUND(AVERAGE(R48:V48),1))</f>
        <v>25097</v>
      </c>
      <c r="S49" s="3232"/>
      <c r="T49" s="3232"/>
      <c r="U49" s="3232"/>
      <c r="V49" s="3232"/>
      <c r="W49" s="3232"/>
      <c r="X49" s="756"/>
      <c r="Y49" s="756"/>
      <c r="Z49" s="756"/>
      <c r="AA49" s="756"/>
      <c r="AB49" s="756"/>
      <c r="AC49" s="756"/>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5" t="s">
        <v>2583</v>
      </c>
      <c r="D52" s="496"/>
      <c r="E52" s="497">
        <f>IF(E47&lt;E48,E48/E47-1,E47/E48-1)</f>
        <v>6.4260869565217371E-2</v>
      </c>
      <c r="F52" s="498" t="str">
        <f>IF(OR(E52&gt;=0.3,E52&lt;=-0.3),"超过30%","")</f>
        <v/>
      </c>
      <c r="G52" s="497">
        <f>IF(G47&lt;G48,G48/G47-1,G47/G48-1)</f>
        <v>3.3250000000000002E-2</v>
      </c>
      <c r="H52" s="498" t="str">
        <f>IF(OR(G52&gt;=0.3,G52&lt;=-0.3),"超过30%","")</f>
        <v/>
      </c>
      <c r="I52" s="497">
        <f>IF(I47&lt;I48,I48/I47-1,I47/I48-1)</f>
        <v>3.0214499884677393E-2</v>
      </c>
      <c r="J52" s="498" t="str">
        <f>IF(OR(I52&gt;=0.3,I52&lt;=-0.3),"超过30%","")</f>
        <v/>
      </c>
      <c r="K52" s="1103"/>
      <c r="L52" s="1104"/>
      <c r="M52" s="1142"/>
      <c r="N52" s="1142"/>
      <c r="O52" s="1142"/>
    </row>
    <row r="53" spans="1:29" ht="13.5" customHeight="1">
      <c r="A53" s="1142"/>
      <c r="B53" s="1142"/>
      <c r="C53" s="495" t="s">
        <v>2584</v>
      </c>
      <c r="D53" s="499"/>
      <c r="E53" s="497">
        <f>IF(E48&lt;G48,G48/E48-1,E48/G48-1)</f>
        <v>1.3072963477408273E-2</v>
      </c>
      <c r="F53" s="498" t="str">
        <f>IF(OR(E53&gt;=0.2,E53&lt;=-0.2),"超过20%","")</f>
        <v/>
      </c>
      <c r="G53" s="497">
        <f>IF(G48&lt;I48,I48/G48-1,G48/I48-1)</f>
        <v>4.9036212597790119E-2</v>
      </c>
      <c r="H53" s="498" t="str">
        <f>IF(OR(G53&gt;=0.2,G53&lt;=-0.2),"超过20%","")</f>
        <v/>
      </c>
      <c r="I53" s="497">
        <f>IF(I48&lt;E48,E48/I48-1,I48/E48-1)</f>
        <v>6.2750224691559664E-2</v>
      </c>
      <c r="J53" s="498" t="str">
        <f>IF(OR(I53&gt;=0.2,I53&lt;=-0.2),"超过20%","")</f>
        <v/>
      </c>
      <c r="K53" s="1103"/>
      <c r="L53" s="1104"/>
      <c r="M53" s="1142"/>
      <c r="N53" s="1142"/>
      <c r="O53" s="1142"/>
    </row>
    <row r="54" spans="1:29" s="500" customFormat="1" ht="13.5" customHeight="1">
      <c r="A54" s="1143"/>
      <c r="B54" s="1143"/>
      <c r="C54" s="495" t="s">
        <v>2585</v>
      </c>
      <c r="D54" s="499"/>
      <c r="E54" s="497">
        <f>IF(E47&lt;G47,G47/E47-1,E47/G47-1)</f>
        <v>4.3478260869565188E-2</v>
      </c>
      <c r="F54" s="498" t="str">
        <f>IF(OR(E54&gt;=0.3,E54&lt;=-0.3),"超过30%","")</f>
        <v/>
      </c>
      <c r="G54" s="497">
        <f>IF(G47&lt;I47,I47/G47-1,G47/I47-1)</f>
        <v>0.1166666666666667</v>
      </c>
      <c r="H54" s="498" t="str">
        <f>IF(OR(G54&gt;=0.3,G54&lt;=-0.3),"超过30%","")</f>
        <v/>
      </c>
      <c r="I54" s="497">
        <f>IF(I47&lt;E47,E47/I47-1,I47/E47-1)</f>
        <v>0.16521739130434776</v>
      </c>
      <c r="J54" s="498" t="str">
        <f>IF(OR(I54&gt;=0.3,I54&lt;=-0.3),"超过30%","")</f>
        <v/>
      </c>
      <c r="K54" s="1146"/>
      <c r="L54" s="1147"/>
      <c r="M54" s="1143"/>
      <c r="N54" s="1143"/>
      <c r="O54" s="1143"/>
      <c r="P54" s="2617"/>
    </row>
    <row r="55" spans="1:29" s="500" customFormat="1">
      <c r="A55" s="1143"/>
      <c r="B55" s="1144"/>
      <c r="C55" s="1148"/>
      <c r="D55" s="1143"/>
      <c r="E55" s="1143"/>
      <c r="F55" s="1143"/>
      <c r="G55" s="1143"/>
      <c r="H55" s="1143"/>
      <c r="I55" s="1143"/>
      <c r="J55" s="1143"/>
      <c r="K55" s="1146"/>
      <c r="L55" s="1147"/>
      <c r="M55" s="1143"/>
      <c r="N55" s="1143"/>
      <c r="O55" s="1143"/>
      <c r="P55" s="2617"/>
    </row>
    <row r="56" spans="1:29">
      <c r="A56" s="1142"/>
      <c r="B56" s="1144"/>
      <c r="C56" s="1148"/>
      <c r="D56" s="1142"/>
      <c r="E56" s="1142"/>
      <c r="F56" s="1142"/>
      <c r="G56" s="1142"/>
      <c r="H56" s="1142"/>
      <c r="I56" s="1142"/>
      <c r="J56" s="1142"/>
      <c r="K56" s="1103"/>
      <c r="L56" s="1104"/>
      <c r="M56" s="1142"/>
      <c r="N56" s="1142"/>
      <c r="O56" s="1142"/>
    </row>
    <row r="57" spans="1:29" ht="21.75" thickBot="1">
      <c r="A57" s="760" t="s">
        <v>2586</v>
      </c>
      <c r="B57" s="756"/>
      <c r="C57" s="761"/>
      <c r="D57" s="761"/>
      <c r="E57" s="761"/>
      <c r="F57" s="762"/>
      <c r="G57" s="762"/>
      <c r="H57" s="761"/>
      <c r="I57" s="761"/>
      <c r="J57" s="761"/>
      <c r="K57" s="1158"/>
      <c r="L57" s="1159"/>
      <c r="M57" s="1157"/>
      <c r="N57" s="1157"/>
      <c r="O57" s="1157"/>
      <c r="P57" s="2618"/>
      <c r="Q57" s="502"/>
    </row>
    <row r="58" spans="1:29" s="506" customFormat="1" ht="15">
      <c r="A58" s="503" t="s">
        <v>2551</v>
      </c>
      <c r="B58" s="504"/>
      <c r="C58" s="1574" t="str">
        <f>YEAR(C7)&amp;"-"&amp;MONTH(C7)</f>
        <v>2017-11</v>
      </c>
      <c r="D58" s="1573">
        <f>EDATE(C58,-1)</f>
        <v>43009</v>
      </c>
      <c r="E58" s="1573">
        <f>EDATE(D58,-1)</f>
        <v>42979</v>
      </c>
      <c r="F58" s="1573">
        <f t="shared" ref="F58:O58" si="19">EDATE(E58,-1)</f>
        <v>42948</v>
      </c>
      <c r="G58" s="1573">
        <f t="shared" si="19"/>
        <v>42917</v>
      </c>
      <c r="H58" s="1573">
        <f t="shared" si="19"/>
        <v>42887</v>
      </c>
      <c r="I58" s="1573">
        <f t="shared" si="19"/>
        <v>42856</v>
      </c>
      <c r="J58" s="1573">
        <f t="shared" si="19"/>
        <v>42826</v>
      </c>
      <c r="K58" s="1573">
        <f t="shared" si="19"/>
        <v>42795</v>
      </c>
      <c r="L58" s="1573">
        <f t="shared" si="19"/>
        <v>42767</v>
      </c>
      <c r="M58" s="1573">
        <f t="shared" si="19"/>
        <v>42736</v>
      </c>
      <c r="N58" s="1573">
        <f t="shared" si="19"/>
        <v>42705</v>
      </c>
      <c r="O58" s="1573">
        <f t="shared" si="19"/>
        <v>42675</v>
      </c>
      <c r="P58" s="1568"/>
    </row>
    <row r="59" spans="1:29" s="115" customFormat="1" ht="15">
      <c r="A59" s="507"/>
      <c r="B59" s="2619"/>
      <c r="C59" s="1571">
        <v>100</v>
      </c>
      <c r="D59" s="509"/>
      <c r="E59" s="510"/>
      <c r="F59" s="510"/>
      <c r="G59" s="510"/>
      <c r="H59" s="510"/>
      <c r="I59" s="510"/>
      <c r="J59" s="510"/>
      <c r="K59" s="510"/>
      <c r="L59" s="510"/>
      <c r="M59" s="511"/>
      <c r="N59" s="510"/>
      <c r="O59" s="511"/>
      <c r="P59" s="2620"/>
    </row>
    <row r="60" spans="1:29" s="115" customFormat="1" ht="15.75" thickBot="1">
      <c r="A60" s="513" t="s">
        <v>2588</v>
      </c>
      <c r="B60" s="514"/>
      <c r="C60" s="515"/>
      <c r="D60" s="516"/>
      <c r="E60" s="516"/>
      <c r="F60" s="516"/>
      <c r="G60" s="516"/>
      <c r="H60" s="516"/>
      <c r="I60" s="516"/>
      <c r="J60" s="516"/>
      <c r="K60" s="516"/>
      <c r="L60" s="516"/>
      <c r="M60" s="517"/>
      <c r="N60" s="516"/>
      <c r="O60" s="517"/>
      <c r="P60" s="2620"/>
      <c r="Q60" s="502"/>
    </row>
    <row r="61" spans="1:29" s="115" customFormat="1" ht="15">
      <c r="A61" s="519" t="s">
        <v>2553</v>
      </c>
      <c r="B61" s="508"/>
      <c r="C61" s="520" t="s">
        <v>2590</v>
      </c>
      <c r="D61" s="521"/>
      <c r="E61" s="521"/>
      <c r="F61" s="521"/>
      <c r="G61" s="521"/>
      <c r="H61" s="521"/>
      <c r="I61" s="521"/>
      <c r="J61" s="521"/>
      <c r="K61" s="521"/>
      <c r="L61" s="522"/>
      <c r="M61" s="523"/>
      <c r="N61" s="1149"/>
      <c r="O61" s="1149"/>
      <c r="P61" s="2621"/>
      <c r="Q61" s="502"/>
    </row>
    <row r="62" spans="1:29" s="115" customFormat="1" ht="15.75" thickBot="1">
      <c r="A62" s="519"/>
      <c r="B62" s="508"/>
      <c r="C62" s="509">
        <v>100</v>
      </c>
      <c r="D62" s="510"/>
      <c r="E62" s="510"/>
      <c r="F62" s="510"/>
      <c r="G62" s="510"/>
      <c r="H62" s="510"/>
      <c r="I62" s="510"/>
      <c r="J62" s="510"/>
      <c r="K62" s="510"/>
      <c r="L62" s="510"/>
      <c r="M62" s="512"/>
      <c r="N62" s="1149"/>
      <c r="O62" s="1149"/>
      <c r="P62" s="2620"/>
      <c r="Q62" s="502"/>
    </row>
    <row r="63" spans="1:29">
      <c r="A63" s="525" t="s">
        <v>2591</v>
      </c>
      <c r="B63" s="526" t="s">
        <v>2557</v>
      </c>
      <c r="C63" s="527" t="str">
        <f>C9</f>
        <v>住宅</v>
      </c>
      <c r="D63" s="528"/>
      <c r="E63" s="528"/>
      <c r="F63" s="528"/>
      <c r="G63" s="528"/>
      <c r="H63" s="528"/>
      <c r="I63" s="528"/>
      <c r="J63" s="528"/>
      <c r="K63" s="529"/>
      <c r="L63" s="530"/>
      <c r="M63" s="531"/>
      <c r="N63" s="1150"/>
      <c r="O63" s="1150"/>
      <c r="P63" s="2622"/>
      <c r="Q63" s="502"/>
    </row>
    <row r="64" spans="1:29" ht="15.75" thickBot="1">
      <c r="A64" s="532"/>
      <c r="B64" s="533"/>
      <c r="C64" s="534">
        <v>100</v>
      </c>
      <c r="D64" s="534"/>
      <c r="E64" s="534"/>
      <c r="F64" s="534"/>
      <c r="G64" s="534"/>
      <c r="H64" s="534"/>
      <c r="I64" s="534"/>
      <c r="J64" s="534"/>
      <c r="K64" s="534"/>
      <c r="L64" s="534"/>
      <c r="M64" s="535"/>
      <c r="N64" s="1151"/>
      <c r="O64" s="1151"/>
      <c r="P64" s="2622"/>
      <c r="Q64" s="502"/>
    </row>
    <row r="65" spans="1:17" ht="27.75" thickTop="1">
      <c r="A65" s="532"/>
      <c r="B65" s="536" t="s">
        <v>2560</v>
      </c>
      <c r="C65" s="537" t="s">
        <v>2592</v>
      </c>
      <c r="D65" s="537" t="s">
        <v>2593</v>
      </c>
      <c r="E65" s="537" t="s">
        <v>2594</v>
      </c>
      <c r="F65" s="537" t="s">
        <v>2595</v>
      </c>
      <c r="G65" s="537" t="s">
        <v>2596</v>
      </c>
      <c r="H65" s="537" t="s">
        <v>2597</v>
      </c>
      <c r="I65" s="537" t="s">
        <v>2598</v>
      </c>
      <c r="J65" s="537"/>
      <c r="K65" s="538"/>
      <c r="L65" s="539"/>
      <c r="M65" s="540"/>
      <c r="N65" s="1150"/>
      <c r="O65" s="1150"/>
      <c r="P65" s="2622"/>
      <c r="Q65" s="502"/>
    </row>
    <row r="66" spans="1:17" ht="15.75" thickBot="1">
      <c r="A66" s="532"/>
      <c r="B66" s="541"/>
      <c r="C66" s="542">
        <v>100</v>
      </c>
      <c r="D66" s="542">
        <f t="shared" ref="D66:I66" si="20">C66-$K10</f>
        <v>98</v>
      </c>
      <c r="E66" s="542">
        <f t="shared" si="20"/>
        <v>96</v>
      </c>
      <c r="F66" s="542">
        <f t="shared" si="20"/>
        <v>94</v>
      </c>
      <c r="G66" s="542">
        <f t="shared" si="20"/>
        <v>92</v>
      </c>
      <c r="H66" s="542">
        <f t="shared" si="20"/>
        <v>90</v>
      </c>
      <c r="I66" s="542">
        <f t="shared" si="20"/>
        <v>88</v>
      </c>
      <c r="J66" s="542"/>
      <c r="K66" s="542"/>
      <c r="L66" s="542"/>
      <c r="M66" s="543"/>
      <c r="N66" s="1151"/>
      <c r="O66" s="1151"/>
      <c r="P66" s="2622"/>
      <c r="Q66" s="502"/>
    </row>
    <row r="67" spans="1:17" ht="15.75" thickTop="1">
      <c r="A67" s="532"/>
      <c r="B67" s="544" t="s">
        <v>2561</v>
      </c>
      <c r="C67" s="545" t="str">
        <f>C68&amp;"（含）"&amp;"-"&amp;D68</f>
        <v>1（含）-2</v>
      </c>
      <c r="D67" s="545" t="str">
        <f t="shared" ref="D67:L67" si="21">D68&amp;"（含）"&amp;"-"&amp;E68</f>
        <v>2（含）-3</v>
      </c>
      <c r="E67" s="545" t="str">
        <f t="shared" si="21"/>
        <v>3（含）-4</v>
      </c>
      <c r="F67" s="545" t="str">
        <f t="shared" si="21"/>
        <v>4（含）-5</v>
      </c>
      <c r="G67" s="545" t="str">
        <f t="shared" si="21"/>
        <v>5（含）-</v>
      </c>
      <c r="H67" s="545" t="str">
        <f t="shared" si="21"/>
        <v>（含）-</v>
      </c>
      <c r="I67" s="545" t="str">
        <f t="shared" si="21"/>
        <v>（含）-</v>
      </c>
      <c r="J67" s="545" t="str">
        <f t="shared" si="21"/>
        <v>（含）-</v>
      </c>
      <c r="K67" s="545" t="str">
        <f>K68&amp;"（含）"&amp;"-"&amp;L68</f>
        <v>（含）-</v>
      </c>
      <c r="L67" s="545" t="str">
        <f t="shared" si="21"/>
        <v>（含）-</v>
      </c>
      <c r="M67" s="446" t="str">
        <f>M68&amp;"（含）"&amp;"-"&amp;P68</f>
        <v>（含）-</v>
      </c>
      <c r="N67" s="1151"/>
      <c r="O67" s="1151"/>
      <c r="P67" s="2622"/>
      <c r="Q67" s="502"/>
    </row>
    <row r="68" spans="1:17" ht="15">
      <c r="A68" s="532"/>
      <c r="B68" s="546"/>
      <c r="C68" s="547">
        <v>1</v>
      </c>
      <c r="D68" s="547">
        <v>2</v>
      </c>
      <c r="E68" s="547">
        <v>3</v>
      </c>
      <c r="F68" s="547">
        <v>4</v>
      </c>
      <c r="G68" s="547">
        <v>5</v>
      </c>
      <c r="H68" s="547"/>
      <c r="I68" s="547"/>
      <c r="J68" s="547"/>
      <c r="K68" s="548"/>
      <c r="L68" s="549"/>
      <c r="M68" s="550"/>
      <c r="N68" s="1150"/>
      <c r="O68" s="1150"/>
      <c r="P68" s="2622"/>
      <c r="Q68" s="502"/>
    </row>
    <row r="69" spans="1:17" ht="15.75" thickBot="1">
      <c r="A69" s="532"/>
      <c r="B69" s="533"/>
      <c r="C69" s="542">
        <v>100</v>
      </c>
      <c r="D69" s="542">
        <f t="shared" ref="D69:M69" si="22">C69-$K11</f>
        <v>98</v>
      </c>
      <c r="E69" s="542">
        <f t="shared" si="22"/>
        <v>96</v>
      </c>
      <c r="F69" s="542">
        <f t="shared" si="22"/>
        <v>94</v>
      </c>
      <c r="G69" s="542">
        <f t="shared" si="22"/>
        <v>92</v>
      </c>
      <c r="H69" s="542">
        <f t="shared" si="22"/>
        <v>90</v>
      </c>
      <c r="I69" s="542">
        <f t="shared" si="22"/>
        <v>88</v>
      </c>
      <c r="J69" s="542">
        <f t="shared" si="22"/>
        <v>86</v>
      </c>
      <c r="K69" s="542">
        <f t="shared" si="22"/>
        <v>84</v>
      </c>
      <c r="L69" s="542">
        <f t="shared" si="22"/>
        <v>82</v>
      </c>
      <c r="M69" s="543">
        <f t="shared" si="22"/>
        <v>80</v>
      </c>
      <c r="N69" s="1151"/>
      <c r="O69" s="1151"/>
      <c r="P69" s="2622"/>
      <c r="Q69" s="502"/>
    </row>
    <row r="70" spans="1:17" s="469" customFormat="1" ht="15.75" thickTop="1">
      <c r="A70" s="551"/>
      <c r="B70" s="536">
        <f>B12</f>
        <v>111</v>
      </c>
      <c r="C70" s="552"/>
      <c r="D70" s="552"/>
      <c r="E70" s="552"/>
      <c r="F70" s="552"/>
      <c r="G70" s="552"/>
      <c r="H70" s="553"/>
      <c r="I70" s="553"/>
      <c r="J70" s="553"/>
      <c r="K70" s="553"/>
      <c r="L70" s="554"/>
      <c r="M70" s="555"/>
      <c r="N70" s="1152"/>
      <c r="O70" s="1152"/>
      <c r="P70" s="2623"/>
      <c r="Q70" s="557"/>
    </row>
    <row r="71" spans="1:17" s="469" customFormat="1" ht="15.75" thickBot="1">
      <c r="A71" s="551"/>
      <c r="B71" s="541"/>
      <c r="C71" s="558"/>
      <c r="D71" s="534"/>
      <c r="E71" s="534"/>
      <c r="F71" s="534"/>
      <c r="G71" s="534"/>
      <c r="H71" s="534"/>
      <c r="I71" s="534"/>
      <c r="J71" s="534"/>
      <c r="K71" s="534"/>
      <c r="L71" s="534"/>
      <c r="M71" s="535"/>
      <c r="N71" s="1151"/>
      <c r="O71" s="1151"/>
      <c r="P71" s="2623"/>
      <c r="Q71" s="557"/>
    </row>
    <row r="72" spans="1:17" s="469" customFormat="1" ht="15.75" thickTop="1">
      <c r="A72" s="551"/>
      <c r="B72" s="536">
        <f>B13</f>
        <v>111</v>
      </c>
      <c r="C72" s="552"/>
      <c r="D72" s="552"/>
      <c r="E72" s="552"/>
      <c r="F72" s="552"/>
      <c r="G72" s="552"/>
      <c r="H72" s="553"/>
      <c r="I72" s="553"/>
      <c r="J72" s="553"/>
      <c r="K72" s="553"/>
      <c r="L72" s="554"/>
      <c r="M72" s="555"/>
      <c r="N72" s="1152"/>
      <c r="O72" s="1152"/>
      <c r="P72" s="2624"/>
      <c r="Q72" s="559"/>
    </row>
    <row r="73" spans="1:17" s="469" customFormat="1" ht="15.75" thickBot="1">
      <c r="A73" s="551"/>
      <c r="B73" s="541"/>
      <c r="C73" s="558"/>
      <c r="D73" s="558"/>
      <c r="E73" s="558"/>
      <c r="F73" s="558"/>
      <c r="G73" s="558"/>
      <c r="H73" s="560"/>
      <c r="I73" s="560"/>
      <c r="J73" s="560"/>
      <c r="K73" s="560"/>
      <c r="L73" s="560"/>
      <c r="M73" s="561"/>
      <c r="N73" s="1152"/>
      <c r="O73" s="1152"/>
      <c r="P73" s="2623"/>
      <c r="Q73" s="557"/>
    </row>
    <row r="74" spans="1:17" s="469" customFormat="1" ht="15.75" thickTop="1">
      <c r="A74" s="551"/>
      <c r="B74" s="544">
        <f>B14</f>
        <v>111</v>
      </c>
      <c r="C74" s="552"/>
      <c r="D74" s="552"/>
      <c r="E74" s="552"/>
      <c r="F74" s="552"/>
      <c r="G74" s="521"/>
      <c r="H74" s="562"/>
      <c r="I74" s="562"/>
      <c r="J74" s="562"/>
      <c r="K74" s="562"/>
      <c r="L74" s="563"/>
      <c r="M74" s="564"/>
      <c r="N74" s="1152"/>
      <c r="O74" s="1152"/>
      <c r="P74" s="2625"/>
      <c r="Q74" s="557"/>
    </row>
    <row r="75" spans="1:17" s="469" customFormat="1" ht="15.75" thickBot="1">
      <c r="A75" s="566"/>
      <c r="B75" s="567"/>
      <c r="C75" s="568"/>
      <c r="D75" s="568"/>
      <c r="E75" s="568"/>
      <c r="F75" s="568"/>
      <c r="G75" s="568"/>
      <c r="H75" s="569"/>
      <c r="I75" s="569"/>
      <c r="J75" s="569"/>
      <c r="K75" s="569"/>
      <c r="L75" s="569"/>
      <c r="M75" s="570"/>
      <c r="N75" s="1152"/>
      <c r="O75" s="1152"/>
      <c r="P75" s="2623"/>
      <c r="Q75" s="557"/>
    </row>
    <row r="76" spans="1:17">
      <c r="A76" s="525" t="s">
        <v>2562</v>
      </c>
      <c r="B76" s="526" t="s">
        <v>2599</v>
      </c>
      <c r="C76" s="571" t="s">
        <v>2600</v>
      </c>
      <c r="D76" s="571" t="s">
        <v>2601</v>
      </c>
      <c r="E76" s="571" t="s">
        <v>2602</v>
      </c>
      <c r="F76" s="571" t="s">
        <v>2603</v>
      </c>
      <c r="G76" s="571" t="s">
        <v>2604</v>
      </c>
      <c r="H76" s="527"/>
      <c r="I76" s="527"/>
      <c r="J76" s="527"/>
      <c r="K76" s="572"/>
      <c r="L76" s="573"/>
      <c r="M76" s="574"/>
      <c r="N76" s="1150"/>
      <c r="O76" s="1150"/>
      <c r="P76" s="2626"/>
      <c r="Q76" s="502"/>
    </row>
    <row r="77" spans="1:17" ht="15.75" thickBot="1">
      <c r="A77" s="532"/>
      <c r="B77" s="541"/>
      <c r="C77" s="542">
        <v>100</v>
      </c>
      <c r="D77" s="542">
        <f>C77-$K15</f>
        <v>97</v>
      </c>
      <c r="E77" s="542">
        <f>D77-$K15</f>
        <v>94</v>
      </c>
      <c r="F77" s="542">
        <f>E77-$K15</f>
        <v>91</v>
      </c>
      <c r="G77" s="542">
        <f>F77-$K15</f>
        <v>88</v>
      </c>
      <c r="H77" s="542"/>
      <c r="I77" s="542"/>
      <c r="J77" s="542"/>
      <c r="K77" s="542"/>
      <c r="L77" s="542"/>
      <c r="M77" s="543"/>
      <c r="N77" s="1151"/>
      <c r="O77" s="1151"/>
      <c r="P77" s="2622"/>
      <c r="Q77" s="502"/>
    </row>
    <row r="78" spans="1:17" ht="15.75" thickTop="1">
      <c r="A78" s="532"/>
      <c r="B78" s="536" t="s">
        <v>2605</v>
      </c>
      <c r="C78" s="576" t="s">
        <v>2600</v>
      </c>
      <c r="D78" s="576" t="s">
        <v>2601</v>
      </c>
      <c r="E78" s="576" t="s">
        <v>2602</v>
      </c>
      <c r="F78" s="576" t="s">
        <v>2603</v>
      </c>
      <c r="G78" s="576" t="s">
        <v>2604</v>
      </c>
      <c r="H78" s="537"/>
      <c r="I78" s="537"/>
      <c r="J78" s="537"/>
      <c r="K78" s="538"/>
      <c r="L78" s="539"/>
      <c r="M78" s="540"/>
      <c r="N78" s="1150"/>
      <c r="O78" s="1150"/>
      <c r="P78" s="2622"/>
      <c r="Q78" s="502"/>
    </row>
    <row r="79" spans="1:17" ht="15.75" thickBot="1">
      <c r="A79" s="532"/>
      <c r="B79" s="541"/>
      <c r="C79" s="542">
        <v>100</v>
      </c>
      <c r="D79" s="542">
        <f>C79-$K17</f>
        <v>97</v>
      </c>
      <c r="E79" s="542">
        <f>D79-$K17</f>
        <v>94</v>
      </c>
      <c r="F79" s="542">
        <f>E79-$K17</f>
        <v>91</v>
      </c>
      <c r="G79" s="542">
        <f>F79-$K17</f>
        <v>88</v>
      </c>
      <c r="H79" s="542"/>
      <c r="I79" s="542"/>
      <c r="J79" s="542"/>
      <c r="K79" s="542"/>
      <c r="L79" s="542"/>
      <c r="M79" s="543"/>
      <c r="N79" s="1151"/>
      <c r="O79" s="1151"/>
      <c r="P79" s="2622"/>
      <c r="Q79" s="502"/>
    </row>
    <row r="80" spans="1:17" ht="15.75" thickTop="1">
      <c r="A80" s="532"/>
      <c r="B80" s="536" t="s">
        <v>2606</v>
      </c>
      <c r="C80" s="576" t="s">
        <v>2600</v>
      </c>
      <c r="D80" s="576" t="s">
        <v>2601</v>
      </c>
      <c r="E80" s="576" t="s">
        <v>2602</v>
      </c>
      <c r="F80" s="576" t="s">
        <v>2603</v>
      </c>
      <c r="G80" s="576" t="s">
        <v>2604</v>
      </c>
      <c r="H80" s="537"/>
      <c r="I80" s="537"/>
      <c r="J80" s="537"/>
      <c r="K80" s="538"/>
      <c r="L80" s="539"/>
      <c r="M80" s="540"/>
      <c r="N80" s="1150"/>
      <c r="O80" s="1150"/>
      <c r="P80" s="2622"/>
      <c r="Q80" s="502"/>
    </row>
    <row r="81" spans="1:17" ht="15.75" thickBot="1">
      <c r="A81" s="532"/>
      <c r="B81" s="541"/>
      <c r="C81" s="542">
        <v>100</v>
      </c>
      <c r="D81" s="542">
        <f>C81-$K19</f>
        <v>97</v>
      </c>
      <c r="E81" s="542">
        <f>D81-$K19</f>
        <v>94</v>
      </c>
      <c r="F81" s="542">
        <f>E81-$K19</f>
        <v>91</v>
      </c>
      <c r="G81" s="542">
        <f>F81-$K19</f>
        <v>88</v>
      </c>
      <c r="H81" s="542"/>
      <c r="I81" s="542"/>
      <c r="J81" s="542"/>
      <c r="K81" s="542"/>
      <c r="L81" s="542"/>
      <c r="M81" s="543"/>
      <c r="N81" s="1151"/>
      <c r="O81" s="1151"/>
      <c r="P81" s="2622"/>
      <c r="Q81" s="502"/>
    </row>
    <row r="82" spans="1:17" ht="15.75" thickTop="1">
      <c r="A82" s="532"/>
      <c r="B82" s="544" t="s">
        <v>2104</v>
      </c>
      <c r="C82" s="537" t="s">
        <v>2607</v>
      </c>
      <c r="D82" s="537" t="s">
        <v>2608</v>
      </c>
      <c r="E82" s="537" t="s">
        <v>2609</v>
      </c>
      <c r="F82" s="537" t="s">
        <v>2610</v>
      </c>
      <c r="G82" s="537" t="s">
        <v>2611</v>
      </c>
      <c r="H82" s="537"/>
      <c r="I82" s="537"/>
      <c r="J82" s="537"/>
      <c r="K82" s="537"/>
      <c r="L82" s="537"/>
      <c r="M82" s="1380"/>
      <c r="N82" s="1151"/>
      <c r="O82" s="1151"/>
      <c r="P82" s="2622"/>
      <c r="Q82" s="502"/>
    </row>
    <row r="83" spans="1:17" ht="15.75" thickBot="1">
      <c r="A83" s="532"/>
      <c r="B83" s="544"/>
      <c r="C83" s="658">
        <v>100</v>
      </c>
      <c r="D83" s="658">
        <f>C83-$K21</f>
        <v>98</v>
      </c>
      <c r="E83" s="658">
        <f t="shared" ref="E83:G83" si="23">D83-$K21</f>
        <v>96</v>
      </c>
      <c r="F83" s="658">
        <f t="shared" si="23"/>
        <v>94</v>
      </c>
      <c r="G83" s="658">
        <f t="shared" si="23"/>
        <v>92</v>
      </c>
      <c r="H83" s="658"/>
      <c r="I83" s="658"/>
      <c r="J83" s="658"/>
      <c r="K83" s="658"/>
      <c r="L83" s="658"/>
      <c r="M83" s="448"/>
      <c r="N83" s="1151"/>
      <c r="O83" s="1151"/>
      <c r="P83" s="2622"/>
      <c r="Q83" s="502"/>
    </row>
    <row r="84" spans="1:17" ht="15.75" thickTop="1">
      <c r="A84" s="532"/>
      <c r="B84" s="536" t="s">
        <v>2612</v>
      </c>
      <c r="C84" s="576" t="s">
        <v>2600</v>
      </c>
      <c r="D84" s="576" t="s">
        <v>2601</v>
      </c>
      <c r="E84" s="576" t="s">
        <v>2602</v>
      </c>
      <c r="F84" s="576" t="s">
        <v>2603</v>
      </c>
      <c r="G84" s="576" t="s">
        <v>2604</v>
      </c>
      <c r="H84" s="537"/>
      <c r="I84" s="537"/>
      <c r="J84" s="537"/>
      <c r="K84" s="538"/>
      <c r="L84" s="539"/>
      <c r="M84" s="540"/>
      <c r="N84" s="1150"/>
      <c r="O84" s="1150"/>
      <c r="P84" s="2622"/>
      <c r="Q84" s="502"/>
    </row>
    <row r="85" spans="1:17" ht="15.75" thickBot="1">
      <c r="A85" s="532"/>
      <c r="B85" s="541"/>
      <c r="C85" s="542">
        <v>100</v>
      </c>
      <c r="D85" s="542">
        <f>C85-$K23</f>
        <v>98</v>
      </c>
      <c r="E85" s="542">
        <f>D85-$K23</f>
        <v>96</v>
      </c>
      <c r="F85" s="542">
        <f>E85-$K23</f>
        <v>94</v>
      </c>
      <c r="G85" s="542">
        <f>F85-$K23</f>
        <v>92</v>
      </c>
      <c r="H85" s="542"/>
      <c r="I85" s="542"/>
      <c r="J85" s="542"/>
      <c r="K85" s="542"/>
      <c r="L85" s="542"/>
      <c r="M85" s="543"/>
      <c r="N85" s="1151"/>
      <c r="O85" s="1151"/>
      <c r="P85" s="2622"/>
      <c r="Q85" s="502"/>
    </row>
    <row r="86" spans="1:17" s="115" customFormat="1" ht="15.75" thickTop="1">
      <c r="A86" s="577"/>
      <c r="B86" s="536" t="s">
        <v>2613</v>
      </c>
      <c r="C86" s="552"/>
      <c r="D86" s="552"/>
      <c r="E86" s="552"/>
      <c r="F86" s="552"/>
      <c r="G86" s="552"/>
      <c r="H86" s="552"/>
      <c r="I86" s="552"/>
      <c r="J86" s="552"/>
      <c r="K86" s="552"/>
      <c r="L86" s="578"/>
      <c r="M86" s="579"/>
      <c r="N86" s="1149"/>
      <c r="O86" s="1149"/>
      <c r="P86" s="2622"/>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1"/>
      <c r="O87" s="1151"/>
      <c r="P87" s="2622"/>
      <c r="Q87" s="502"/>
    </row>
    <row r="88" spans="1:17" s="115" customFormat="1" ht="15.75" thickTop="1">
      <c r="A88" s="577"/>
      <c r="B88" s="536" t="s">
        <v>2614</v>
      </c>
      <c r="C88" s="552"/>
      <c r="D88" s="552"/>
      <c r="E88" s="552"/>
      <c r="F88" s="2627"/>
      <c r="G88" s="552"/>
      <c r="H88" s="552"/>
      <c r="I88" s="552"/>
      <c r="J88" s="552"/>
      <c r="K88" s="552"/>
      <c r="L88" s="552"/>
      <c r="M88" s="579"/>
      <c r="N88" s="1149"/>
      <c r="O88" s="1149"/>
      <c r="P88" s="2622"/>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1"/>
      <c r="O89" s="1151"/>
      <c r="P89" s="2622"/>
      <c r="Q89" s="502"/>
    </row>
    <row r="90" spans="1:17" s="469" customFormat="1" ht="15.75" thickTop="1">
      <c r="A90" s="551"/>
      <c r="B90" s="536">
        <f>B27</f>
        <v>111</v>
      </c>
      <c r="C90" s="552"/>
      <c r="D90" s="552"/>
      <c r="E90" s="552"/>
      <c r="F90" s="552"/>
      <c r="G90" s="552"/>
      <c r="H90" s="553"/>
      <c r="I90" s="553"/>
      <c r="J90" s="553"/>
      <c r="K90" s="553"/>
      <c r="L90" s="554"/>
      <c r="M90" s="555"/>
      <c r="N90" s="1152"/>
      <c r="O90" s="1152"/>
      <c r="P90" s="2623"/>
      <c r="Q90" s="557"/>
    </row>
    <row r="91" spans="1:17" s="469" customFormat="1" ht="15.75" thickBot="1">
      <c r="A91" s="551"/>
      <c r="B91" s="541"/>
      <c r="C91" s="558"/>
      <c r="D91" s="558"/>
      <c r="E91" s="558"/>
      <c r="F91" s="558"/>
      <c r="G91" s="558"/>
      <c r="H91" s="560"/>
      <c r="I91" s="560"/>
      <c r="J91" s="560"/>
      <c r="K91" s="560"/>
      <c r="L91" s="560"/>
      <c r="M91" s="561"/>
      <c r="N91" s="1152"/>
      <c r="O91" s="1152"/>
      <c r="P91" s="2623"/>
      <c r="Q91" s="557"/>
    </row>
    <row r="92" spans="1:17" ht="15.75" thickTop="1">
      <c r="A92" s="532"/>
      <c r="B92" s="536">
        <f>B28</f>
        <v>111</v>
      </c>
      <c r="C92" s="552"/>
      <c r="D92" s="552"/>
      <c r="E92" s="552"/>
      <c r="F92" s="552"/>
      <c r="G92" s="581"/>
      <c r="H92" s="581"/>
      <c r="I92" s="581"/>
      <c r="J92" s="581"/>
      <c r="K92" s="582"/>
      <c r="L92" s="583"/>
      <c r="M92" s="584"/>
      <c r="N92" s="1150"/>
      <c r="O92" s="1150"/>
      <c r="P92" s="2622"/>
      <c r="Q92" s="502"/>
    </row>
    <row r="93" spans="1:17" ht="15.75" thickBot="1">
      <c r="A93" s="532"/>
      <c r="B93" s="541"/>
      <c r="C93" s="558"/>
      <c r="D93" s="534"/>
      <c r="E93" s="534"/>
      <c r="F93" s="534"/>
      <c r="G93" s="534"/>
      <c r="H93" s="534"/>
      <c r="I93" s="534"/>
      <c r="J93" s="534"/>
      <c r="K93" s="534"/>
      <c r="L93" s="534"/>
      <c r="M93" s="535"/>
      <c r="N93" s="1151"/>
      <c r="O93" s="1151"/>
      <c r="P93" s="2622"/>
      <c r="Q93" s="502"/>
    </row>
    <row r="94" spans="1:17" ht="15.75" thickTop="1">
      <c r="A94" s="532"/>
      <c r="B94" s="536">
        <f>B29</f>
        <v>111</v>
      </c>
      <c r="C94" s="552"/>
      <c r="D94" s="552"/>
      <c r="E94" s="552"/>
      <c r="F94" s="552"/>
      <c r="G94" s="581"/>
      <c r="H94" s="581"/>
      <c r="I94" s="581"/>
      <c r="J94" s="581"/>
      <c r="K94" s="582"/>
      <c r="L94" s="583"/>
      <c r="M94" s="584"/>
      <c r="N94" s="1150"/>
      <c r="O94" s="1150"/>
      <c r="P94" s="2622"/>
      <c r="Q94" s="502"/>
    </row>
    <row r="95" spans="1:17" ht="15.75" thickBot="1">
      <c r="A95" s="532"/>
      <c r="B95" s="541"/>
      <c r="C95" s="558"/>
      <c r="D95" s="558"/>
      <c r="E95" s="558"/>
      <c r="F95" s="558"/>
      <c r="G95" s="534"/>
      <c r="H95" s="534"/>
      <c r="I95" s="534"/>
      <c r="J95" s="534"/>
      <c r="K95" s="534"/>
      <c r="L95" s="534"/>
      <c r="M95" s="535"/>
      <c r="N95" s="1151"/>
      <c r="O95" s="1151"/>
      <c r="P95" s="2622"/>
      <c r="Q95" s="502"/>
    </row>
    <row r="96" spans="1:17" ht="15.75" thickTop="1">
      <c r="A96" s="532"/>
      <c r="B96" s="536">
        <f>B30</f>
        <v>111</v>
      </c>
      <c r="C96" s="552"/>
      <c r="D96" s="552"/>
      <c r="E96" s="552"/>
      <c r="F96" s="552"/>
      <c r="G96" s="581"/>
      <c r="H96" s="581"/>
      <c r="I96" s="581"/>
      <c r="J96" s="581"/>
      <c r="K96" s="582"/>
      <c r="L96" s="583"/>
      <c r="M96" s="584"/>
      <c r="N96" s="1150"/>
      <c r="O96" s="1150"/>
      <c r="P96" s="2622"/>
      <c r="Q96" s="502"/>
    </row>
    <row r="97" spans="1:17" ht="15.75" thickBot="1">
      <c r="A97" s="532"/>
      <c r="B97" s="541"/>
      <c r="C97" s="568"/>
      <c r="D97" s="568"/>
      <c r="E97" s="568"/>
      <c r="F97" s="568"/>
      <c r="G97" s="534"/>
      <c r="H97" s="534"/>
      <c r="I97" s="534"/>
      <c r="J97" s="534"/>
      <c r="K97" s="534"/>
      <c r="L97" s="534"/>
      <c r="M97" s="535"/>
      <c r="N97" s="1151"/>
      <c r="O97" s="1151"/>
      <c r="P97" s="2622"/>
      <c r="Q97" s="502"/>
    </row>
    <row r="98" spans="1:17" ht="15.75" thickTop="1">
      <c r="A98" s="532"/>
      <c r="B98" s="544">
        <f>B31</f>
        <v>111</v>
      </c>
      <c r="C98" s="585"/>
      <c r="D98" s="585"/>
      <c r="E98" s="585"/>
      <c r="F98" s="585"/>
      <c r="G98" s="585"/>
      <c r="H98" s="585"/>
      <c r="I98" s="585"/>
      <c r="J98" s="585"/>
      <c r="K98" s="586"/>
      <c r="L98" s="587"/>
      <c r="M98" s="588"/>
      <c r="N98" s="1150"/>
      <c r="O98" s="1150"/>
      <c r="P98" s="2622"/>
      <c r="Q98" s="502"/>
    </row>
    <row r="99" spans="1:17" ht="15.75" thickBot="1">
      <c r="A99" s="2628"/>
      <c r="B99" s="567"/>
      <c r="C99" s="589"/>
      <c r="D99" s="589"/>
      <c r="E99" s="589"/>
      <c r="F99" s="589"/>
      <c r="G99" s="589"/>
      <c r="H99" s="589"/>
      <c r="I99" s="589"/>
      <c r="J99" s="589"/>
      <c r="K99" s="589"/>
      <c r="L99" s="589"/>
      <c r="M99" s="590"/>
      <c r="N99" s="1151"/>
      <c r="O99" s="1151"/>
      <c r="P99" s="2622"/>
      <c r="Q99" s="502"/>
    </row>
    <row r="100" spans="1:17">
      <c r="A100" s="525" t="s">
        <v>2566</v>
      </c>
      <c r="B100" s="526" t="s">
        <v>2615</v>
      </c>
      <c r="C100" s="2939" t="s">
        <v>3142</v>
      </c>
      <c r="D100" s="528"/>
      <c r="E100" s="528"/>
      <c r="F100" s="528"/>
      <c r="G100" s="528"/>
      <c r="H100" s="528"/>
      <c r="I100" s="528"/>
      <c r="J100" s="528"/>
      <c r="K100" s="529"/>
      <c r="L100" s="530"/>
      <c r="M100" s="531"/>
      <c r="N100" s="1150"/>
      <c r="O100" s="1150"/>
      <c r="P100" s="2622"/>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1"/>
      <c r="O101" s="1151"/>
      <c r="P101" s="2622"/>
      <c r="Q101" s="502"/>
    </row>
    <row r="102" spans="1:17" ht="29.25" thickTop="1">
      <c r="A102" s="532"/>
      <c r="B102" s="536" t="s">
        <v>2616</v>
      </c>
      <c r="C102" s="576" t="str">
        <f>C103&amp;"(含)"&amp;"-"&amp;D103</f>
        <v>1(含)-200000</v>
      </c>
      <c r="D102" s="576" t="str">
        <f t="shared" ref="D102:L102" si="27">D103&amp;"(含)"&amp;"-"&amp;E103</f>
        <v>200000(含)-400000</v>
      </c>
      <c r="E102" s="576" t="str">
        <f t="shared" si="27"/>
        <v>400000(含)-600000</v>
      </c>
      <c r="F102" s="576" t="str">
        <f t="shared" si="27"/>
        <v>600000(含)-800000</v>
      </c>
      <c r="G102" s="576" t="str">
        <f t="shared" si="27"/>
        <v>800000(含)-1000000</v>
      </c>
      <c r="H102" s="576" t="str">
        <f t="shared" si="27"/>
        <v>1000000(含)-</v>
      </c>
      <c r="I102" s="576" t="str">
        <f t="shared" si="27"/>
        <v>(含)-</v>
      </c>
      <c r="J102" s="576" t="str">
        <f t="shared" si="27"/>
        <v>(含)-</v>
      </c>
      <c r="K102" s="576" t="str">
        <f>K103&amp;"(含)"&amp;"-"&amp;L103</f>
        <v>(含)-</v>
      </c>
      <c r="L102" s="576" t="str">
        <f t="shared" si="27"/>
        <v>(含)-</v>
      </c>
      <c r="M102" s="576" t="str">
        <f>M103&amp;"(含)"&amp;"-"&amp;P103</f>
        <v>(含)-</v>
      </c>
      <c r="N102" s="1149"/>
      <c r="O102" s="1149"/>
      <c r="P102" s="2622"/>
      <c r="Q102" s="502"/>
    </row>
    <row r="103" spans="1:17" s="469" customFormat="1">
      <c r="A103" s="591"/>
      <c r="B103" s="592"/>
      <c r="C103" s="593">
        <v>1</v>
      </c>
      <c r="D103" s="593">
        <v>200000</v>
      </c>
      <c r="E103" s="593">
        <v>400000</v>
      </c>
      <c r="F103" s="593">
        <v>600000</v>
      </c>
      <c r="G103" s="593">
        <v>800000</v>
      </c>
      <c r="H103" s="593">
        <v>1000000</v>
      </c>
      <c r="I103" s="593"/>
      <c r="J103" s="594"/>
      <c r="K103" s="594"/>
      <c r="L103" s="595"/>
      <c r="M103" s="596"/>
      <c r="N103" s="1152"/>
      <c r="O103" s="1152"/>
      <c r="P103" s="2623"/>
      <c r="Q103" s="557"/>
    </row>
    <row r="104" spans="1:17" s="469" customFormat="1" ht="15.75" thickBot="1">
      <c r="A104" s="551"/>
      <c r="B104" s="541"/>
      <c r="C104" s="558">
        <v>100</v>
      </c>
      <c r="D104" s="534">
        <v>101</v>
      </c>
      <c r="E104" s="534">
        <v>102</v>
      </c>
      <c r="F104" s="558">
        <v>103</v>
      </c>
      <c r="G104" s="534">
        <v>104</v>
      </c>
      <c r="H104" s="534">
        <v>105</v>
      </c>
      <c r="I104" s="534"/>
      <c r="J104" s="534"/>
      <c r="K104" s="534"/>
      <c r="L104" s="534"/>
      <c r="M104" s="534"/>
      <c r="N104" s="1151"/>
      <c r="O104" s="1151"/>
      <c r="P104" s="2623"/>
      <c r="Q104" s="557"/>
    </row>
    <row r="105" spans="1:17" ht="15" thickTop="1">
      <c r="A105" s="597"/>
      <c r="B105" s="536" t="s">
        <v>2617</v>
      </c>
      <c r="C105" s="2941" t="s">
        <v>3143</v>
      </c>
      <c r="D105" s="552"/>
      <c r="E105" s="581"/>
      <c r="F105" s="581"/>
      <c r="G105" s="581"/>
      <c r="H105" s="581"/>
      <c r="I105" s="581"/>
      <c r="J105" s="581"/>
      <c r="K105" s="582"/>
      <c r="L105" s="583"/>
      <c r="M105" s="584"/>
      <c r="N105" s="1150"/>
      <c r="O105" s="1150"/>
      <c r="P105" s="2622"/>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1"/>
      <c r="O106" s="1151"/>
      <c r="P106" s="2622"/>
      <c r="Q106" s="502"/>
    </row>
    <row r="107" spans="1:17" ht="15" thickTop="1">
      <c r="A107" s="597"/>
      <c r="B107" s="536" t="s">
        <v>2618</v>
      </c>
      <c r="C107" s="2940" t="s">
        <v>3145</v>
      </c>
      <c r="D107" s="581"/>
      <c r="E107" s="581"/>
      <c r="F107" s="581"/>
      <c r="G107" s="581"/>
      <c r="H107" s="581"/>
      <c r="I107" s="581"/>
      <c r="J107" s="581"/>
      <c r="K107" s="582"/>
      <c r="L107" s="583"/>
      <c r="M107" s="584"/>
      <c r="N107" s="1150"/>
      <c r="O107" s="1150"/>
      <c r="P107" s="2622"/>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1"/>
      <c r="O108" s="1151"/>
      <c r="P108" s="2622"/>
      <c r="Q108" s="502"/>
    </row>
    <row r="109" spans="1:17" ht="15" thickTop="1">
      <c r="A109" s="597"/>
      <c r="B109" s="536" t="s">
        <v>2619</v>
      </c>
      <c r="C109" s="2941" t="s">
        <v>3147</v>
      </c>
      <c r="D109" s="552"/>
      <c r="E109" s="552"/>
      <c r="F109" s="581"/>
      <c r="G109" s="581"/>
      <c r="H109" s="581"/>
      <c r="I109" s="581"/>
      <c r="J109" s="581"/>
      <c r="K109" s="582"/>
      <c r="L109" s="583"/>
      <c r="M109" s="584"/>
      <c r="N109" s="1150"/>
      <c r="O109" s="1150"/>
      <c r="P109" s="2622"/>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1"/>
      <c r="O110" s="1151"/>
      <c r="P110" s="2622"/>
      <c r="Q110" s="502"/>
    </row>
    <row r="111" spans="1:17" s="469" customFormat="1" ht="15" thickTop="1">
      <c r="A111" s="591"/>
      <c r="B111" s="536" t="s">
        <v>2002</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2"/>
      <c r="O111" s="1152"/>
      <c r="P111" s="2623"/>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2"/>
      <c r="O112" s="1152"/>
      <c r="P112" s="2623"/>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2"/>
      <c r="O113" s="1152"/>
      <c r="P113" s="2623"/>
      <c r="Q113" s="557"/>
    </row>
    <row r="114" spans="1:17" ht="15" thickTop="1">
      <c r="A114" s="597"/>
      <c r="B114" s="536" t="s">
        <v>2620</v>
      </c>
      <c r="C114" s="2941" t="s">
        <v>3149</v>
      </c>
      <c r="D114" s="552"/>
      <c r="E114" s="581"/>
      <c r="F114" s="581"/>
      <c r="G114" s="581"/>
      <c r="H114" s="581"/>
      <c r="I114" s="581"/>
      <c r="J114" s="581"/>
      <c r="K114" s="582"/>
      <c r="L114" s="583"/>
      <c r="M114" s="584"/>
      <c r="N114" s="1150"/>
      <c r="O114" s="1150"/>
      <c r="P114" s="2622"/>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1"/>
      <c r="O115" s="1151"/>
      <c r="P115" s="2622"/>
      <c r="Q115" s="502"/>
    </row>
    <row r="116" spans="1:17" ht="15" thickTop="1">
      <c r="A116" s="597"/>
      <c r="B116" s="536" t="s">
        <v>2621</v>
      </c>
      <c r="C116" s="2941" t="s">
        <v>3152</v>
      </c>
      <c r="D116" s="552"/>
      <c r="E116" s="552"/>
      <c r="F116" s="552"/>
      <c r="G116" s="552"/>
      <c r="H116" s="581"/>
      <c r="I116" s="581"/>
      <c r="J116" s="581"/>
      <c r="K116" s="582"/>
      <c r="L116" s="583"/>
      <c r="M116" s="584"/>
      <c r="N116" s="1150"/>
      <c r="O116" s="1150"/>
      <c r="P116" s="2622"/>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1"/>
      <c r="O117" s="1151"/>
      <c r="P117" s="2622"/>
      <c r="Q117" s="502"/>
    </row>
    <row r="118" spans="1:17" ht="15" thickTop="1">
      <c r="A118" s="597"/>
      <c r="B118" s="536" t="s">
        <v>2622</v>
      </c>
      <c r="C118" s="2940" t="s">
        <v>3151</v>
      </c>
      <c r="D118" s="581"/>
      <c r="E118" s="581"/>
      <c r="F118" s="581"/>
      <c r="G118" s="581"/>
      <c r="H118" s="581"/>
      <c r="I118" s="581"/>
      <c r="J118" s="581"/>
      <c r="K118" s="582"/>
      <c r="L118" s="583"/>
      <c r="M118" s="584"/>
      <c r="N118" s="1150"/>
      <c r="O118" s="1150"/>
      <c r="P118" s="2622"/>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1"/>
      <c r="O119" s="1151"/>
      <c r="P119" s="2622"/>
      <c r="Q119" s="502"/>
    </row>
    <row r="120" spans="1:17" s="469" customFormat="1" ht="28.5" thickTop="1">
      <c r="A120" s="591"/>
      <c r="B120" s="536" t="s">
        <v>2577</v>
      </c>
      <c r="C120" s="552"/>
      <c r="D120" s="552"/>
      <c r="E120" s="552"/>
      <c r="F120" s="552"/>
      <c r="G120" s="552"/>
      <c r="H120" s="552"/>
      <c r="I120" s="552"/>
      <c r="J120" s="552"/>
      <c r="K120" s="552"/>
      <c r="L120" s="578"/>
      <c r="M120" s="579"/>
      <c r="N120" s="1152"/>
      <c r="O120" s="1152"/>
      <c r="P120" s="2623"/>
      <c r="Q120" s="557"/>
    </row>
    <row r="121" spans="1:17" s="469" customFormat="1" ht="15.75" thickBot="1">
      <c r="A121" s="551"/>
      <c r="B121" s="533"/>
      <c r="C121" s="558"/>
      <c r="D121" s="534"/>
      <c r="E121" s="534"/>
      <c r="F121" s="534"/>
      <c r="G121" s="534"/>
      <c r="H121" s="534"/>
      <c r="I121" s="534"/>
      <c r="J121" s="534"/>
      <c r="K121" s="534"/>
      <c r="L121" s="534"/>
      <c r="M121" s="534"/>
      <c r="N121" s="1152"/>
      <c r="O121" s="1152"/>
      <c r="P121" s="2623"/>
      <c r="Q121" s="557"/>
    </row>
    <row r="122" spans="1:17" ht="15" thickTop="1">
      <c r="A122" s="597"/>
      <c r="B122" s="536" t="s">
        <v>2623</v>
      </c>
      <c r="C122" s="2940" t="s">
        <v>3161</v>
      </c>
      <c r="D122" s="2941" t="s">
        <v>3160</v>
      </c>
      <c r="E122" s="2941" t="s">
        <v>3159</v>
      </c>
      <c r="F122" s="2940" t="s">
        <v>3154</v>
      </c>
      <c r="G122" s="581"/>
      <c r="H122" s="581"/>
      <c r="I122" s="581"/>
      <c r="J122" s="581"/>
      <c r="K122" s="582"/>
      <c r="L122" s="583"/>
      <c r="M122" s="584"/>
      <c r="N122" s="1150"/>
      <c r="O122" s="1150"/>
      <c r="P122" s="2622"/>
      <c r="Q122" s="502"/>
    </row>
    <row r="123" spans="1:17" ht="15.75" thickBot="1">
      <c r="A123" s="532"/>
      <c r="B123" s="541"/>
      <c r="C123" s="542">
        <v>100</v>
      </c>
      <c r="D123" s="542">
        <f t="shared" ref="D123:M123" si="33">C123-$K42</f>
        <v>98</v>
      </c>
      <c r="E123" s="542">
        <f t="shared" si="33"/>
        <v>96</v>
      </c>
      <c r="F123" s="542">
        <f t="shared" si="33"/>
        <v>94</v>
      </c>
      <c r="G123" s="542">
        <f t="shared" si="33"/>
        <v>92</v>
      </c>
      <c r="H123" s="542">
        <f t="shared" si="33"/>
        <v>90</v>
      </c>
      <c r="I123" s="542">
        <f t="shared" si="33"/>
        <v>88</v>
      </c>
      <c r="J123" s="542">
        <f t="shared" si="33"/>
        <v>86</v>
      </c>
      <c r="K123" s="542">
        <f t="shared" si="33"/>
        <v>84</v>
      </c>
      <c r="L123" s="542">
        <f t="shared" si="33"/>
        <v>82</v>
      </c>
      <c r="M123" s="542">
        <f t="shared" si="33"/>
        <v>80</v>
      </c>
      <c r="N123" s="1151"/>
      <c r="O123" s="1151"/>
      <c r="P123" s="2622"/>
      <c r="Q123" s="502"/>
    </row>
    <row r="124" spans="1:17" ht="15" thickTop="1">
      <c r="A124" s="597"/>
      <c r="B124" s="536" t="s">
        <v>2624</v>
      </c>
      <c r="C124" s="576" t="s">
        <v>2600</v>
      </c>
      <c r="D124" s="576" t="s">
        <v>2601</v>
      </c>
      <c r="E124" s="576" t="s">
        <v>2602</v>
      </c>
      <c r="F124" s="576" t="s">
        <v>2603</v>
      </c>
      <c r="G124" s="576" t="s">
        <v>2604</v>
      </c>
      <c r="H124" s="537"/>
      <c r="I124" s="537"/>
      <c r="J124" s="537"/>
      <c r="K124" s="538"/>
      <c r="L124" s="539"/>
      <c r="M124" s="540"/>
      <c r="N124" s="1150"/>
      <c r="O124" s="1150"/>
      <c r="P124" s="2623"/>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1"/>
      <c r="O125" s="1151"/>
      <c r="P125" s="2622"/>
      <c r="Q125" s="502"/>
    </row>
    <row r="126" spans="1:17" s="469" customFormat="1" ht="15" thickTop="1">
      <c r="A126" s="591"/>
      <c r="B126" s="536">
        <f>B44</f>
        <v>111</v>
      </c>
      <c r="C126" s="552"/>
      <c r="D126" s="552"/>
      <c r="E126" s="552"/>
      <c r="F126" s="552"/>
      <c r="G126" s="552"/>
      <c r="H126" s="553"/>
      <c r="I126" s="553"/>
      <c r="J126" s="553"/>
      <c r="K126" s="553"/>
      <c r="L126" s="554"/>
      <c r="M126" s="555"/>
      <c r="N126" s="1152"/>
      <c r="O126" s="1152"/>
      <c r="P126" s="2623"/>
      <c r="Q126" s="557"/>
    </row>
    <row r="127" spans="1:17" s="469" customFormat="1" ht="15.75" thickBot="1">
      <c r="A127" s="551"/>
      <c r="B127" s="541"/>
      <c r="C127" s="558"/>
      <c r="D127" s="534"/>
      <c r="E127" s="534"/>
      <c r="F127" s="534"/>
      <c r="G127" s="558"/>
      <c r="H127" s="560"/>
      <c r="I127" s="560"/>
      <c r="J127" s="560"/>
      <c r="K127" s="560"/>
      <c r="L127" s="560"/>
      <c r="M127" s="561"/>
      <c r="N127" s="1152"/>
      <c r="O127" s="1152"/>
      <c r="P127" s="2623"/>
      <c r="Q127" s="557"/>
    </row>
    <row r="128" spans="1:17" ht="15" thickTop="1">
      <c r="A128" s="597"/>
      <c r="B128" s="536">
        <f>B45</f>
        <v>111</v>
      </c>
      <c r="C128" s="552"/>
      <c r="D128" s="552"/>
      <c r="E128" s="552"/>
      <c r="F128" s="552"/>
      <c r="G128" s="581"/>
      <c r="H128" s="581"/>
      <c r="I128" s="581"/>
      <c r="J128" s="581"/>
      <c r="K128" s="582"/>
      <c r="L128" s="583"/>
      <c r="M128" s="584"/>
      <c r="N128" s="1150"/>
      <c r="O128" s="1150"/>
      <c r="P128" s="2622"/>
      <c r="Q128" s="502"/>
    </row>
    <row r="129" spans="1:17" ht="15.75" thickBot="1">
      <c r="A129" s="532"/>
      <c r="B129" s="541"/>
      <c r="C129" s="558"/>
      <c r="D129" s="558"/>
      <c r="E129" s="558"/>
      <c r="F129" s="558"/>
      <c r="G129" s="534"/>
      <c r="H129" s="534"/>
      <c r="I129" s="534"/>
      <c r="J129" s="534"/>
      <c r="K129" s="534"/>
      <c r="L129" s="534"/>
      <c r="M129" s="535"/>
      <c r="N129" s="1151"/>
      <c r="O129" s="1151"/>
      <c r="P129" s="2622"/>
      <c r="Q129" s="502"/>
    </row>
    <row r="130" spans="1:17" ht="15" thickTop="1">
      <c r="A130" s="597"/>
      <c r="B130" s="544">
        <f>B46</f>
        <v>111</v>
      </c>
      <c r="C130" s="552"/>
      <c r="D130" s="552"/>
      <c r="E130" s="552"/>
      <c r="F130" s="552"/>
      <c r="G130" s="585"/>
      <c r="H130" s="585"/>
      <c r="I130" s="585"/>
      <c r="J130" s="585"/>
      <c r="K130" s="521"/>
      <c r="L130" s="522"/>
      <c r="M130" s="588"/>
      <c r="N130" s="1150"/>
      <c r="O130" s="1150"/>
      <c r="P130" s="2622"/>
      <c r="Q130" s="502"/>
    </row>
    <row r="131" spans="1:17" ht="15.75" thickBot="1">
      <c r="A131" s="2628"/>
      <c r="B131" s="567"/>
      <c r="C131" s="568"/>
      <c r="D131" s="568"/>
      <c r="E131" s="568"/>
      <c r="F131" s="568"/>
      <c r="G131" s="589"/>
      <c r="H131" s="589"/>
      <c r="I131" s="589"/>
      <c r="J131" s="589"/>
      <c r="K131" s="589"/>
      <c r="L131" s="589"/>
      <c r="M131" s="590"/>
      <c r="N131" s="1151"/>
      <c r="O131" s="1151"/>
      <c r="P131" s="2622"/>
      <c r="Q131" s="502"/>
    </row>
    <row r="136" spans="1:17" ht="15" thickBot="1">
      <c r="B136" s="2629" t="s">
        <v>2625</v>
      </c>
    </row>
    <row r="137" spans="1:17" ht="15">
      <c r="B137" s="2630" t="s">
        <v>2626</v>
      </c>
      <c r="C137" s="2631"/>
      <c r="D137" s="2631"/>
      <c r="E137" s="2631"/>
      <c r="F137" s="2631"/>
      <c r="G137" s="2632"/>
      <c r="H137" s="2633"/>
      <c r="I137" s="2634" t="s">
        <v>2627</v>
      </c>
      <c r="J137" s="2631"/>
      <c r="K137" s="2635"/>
    </row>
    <row r="138" spans="1:17" ht="15">
      <c r="B138" s="2636"/>
      <c r="C138" s="143" t="s">
        <v>2628</v>
      </c>
      <c r="D138" s="143" t="s">
        <v>2629</v>
      </c>
      <c r="E138" s="2637" t="s">
        <v>2630</v>
      </c>
      <c r="F138" s="2638" t="s">
        <v>2631</v>
      </c>
      <c r="G138" s="143" t="s">
        <v>2629</v>
      </c>
      <c r="H138" s="144" t="s">
        <v>2630</v>
      </c>
      <c r="I138" s="2639"/>
      <c r="J138" s="143" t="s">
        <v>2632</v>
      </c>
      <c r="K138" s="144" t="s">
        <v>2633</v>
      </c>
    </row>
    <row r="139" spans="1:17" ht="15">
      <c r="B139" s="1082">
        <v>6</v>
      </c>
      <c r="C139" s="1083">
        <v>96</v>
      </c>
      <c r="D139" s="2640" t="s">
        <v>2634</v>
      </c>
      <c r="E139" s="1084">
        <v>100</v>
      </c>
      <c r="F139" s="1085">
        <v>102.5</v>
      </c>
      <c r="G139" s="2640" t="s">
        <v>2634</v>
      </c>
      <c r="H139" s="1086">
        <v>105</v>
      </c>
      <c r="I139" s="2641" t="s">
        <v>2635</v>
      </c>
      <c r="J139" s="1083">
        <v>20</v>
      </c>
      <c r="K139" s="1087">
        <f>C145/(J139-2)</f>
        <v>4.0555555555555553E-3</v>
      </c>
    </row>
    <row r="140" spans="1:17" ht="15">
      <c r="B140" s="1088">
        <v>5</v>
      </c>
      <c r="C140" s="1089">
        <v>100</v>
      </c>
      <c r="D140" s="1089"/>
      <c r="E140" s="1090"/>
      <c r="F140" s="1091">
        <v>102</v>
      </c>
      <c r="G140" s="1089"/>
      <c r="H140" s="1092"/>
      <c r="I140" s="2642" t="s">
        <v>2636</v>
      </c>
      <c r="J140" s="313">
        <f>ROUNDUP((J139-1)/2,0)</f>
        <v>10</v>
      </c>
      <c r="K140" s="1093">
        <v>100</v>
      </c>
    </row>
    <row r="141" spans="1:17" ht="15">
      <c r="B141" s="1088">
        <v>4</v>
      </c>
      <c r="C141" s="1089">
        <v>102</v>
      </c>
      <c r="D141" s="1089"/>
      <c r="E141" s="1090"/>
      <c r="F141" s="1091">
        <v>101.5</v>
      </c>
      <c r="G141" s="1089"/>
      <c r="H141" s="1092"/>
      <c r="I141" s="2642" t="s">
        <v>2637</v>
      </c>
      <c r="J141" s="313">
        <v>1</v>
      </c>
      <c r="K141" s="1094">
        <f>ROUND(100+(J141-J140)*K139*100,1)</f>
        <v>96.4</v>
      </c>
    </row>
    <row r="142" spans="1:17" ht="15">
      <c r="B142" s="1088">
        <v>3</v>
      </c>
      <c r="C142" s="1089">
        <v>103</v>
      </c>
      <c r="D142" s="1089"/>
      <c r="E142" s="1090"/>
      <c r="F142" s="1091">
        <v>101</v>
      </c>
      <c r="G142" s="1089"/>
      <c r="H142" s="1092"/>
      <c r="I142" s="2642" t="s">
        <v>2638</v>
      </c>
      <c r="J142" s="313">
        <f>J139</f>
        <v>20</v>
      </c>
      <c r="K142" s="1095">
        <v>95</v>
      </c>
    </row>
    <row r="143" spans="1:17" ht="15">
      <c r="B143" s="1088">
        <v>2</v>
      </c>
      <c r="C143" s="1089">
        <v>100</v>
      </c>
      <c r="D143" s="1089"/>
      <c r="E143" s="1090"/>
      <c r="F143" s="1091">
        <v>100.5</v>
      </c>
      <c r="G143" s="1089"/>
      <c r="H143" s="1092"/>
      <c r="I143" s="2642" t="s">
        <v>2639</v>
      </c>
      <c r="J143" s="1089">
        <v>15</v>
      </c>
      <c r="K143" s="1094">
        <f>ROUND(100+(J143-J140)*K139*100,1)</f>
        <v>102</v>
      </c>
    </row>
    <row r="144" spans="1:17" ht="15">
      <c r="B144" s="1088">
        <v>1</v>
      </c>
      <c r="C144" s="1089">
        <v>98</v>
      </c>
      <c r="D144" s="2643" t="s">
        <v>2640</v>
      </c>
      <c r="E144" s="1090">
        <v>102</v>
      </c>
      <c r="F144" s="1096">
        <v>100</v>
      </c>
      <c r="G144" s="2643" t="s">
        <v>2640</v>
      </c>
      <c r="H144" s="1092">
        <v>105</v>
      </c>
      <c r="I144" s="2642" t="s">
        <v>2639</v>
      </c>
      <c r="J144" s="1089">
        <v>18</v>
      </c>
      <c r="K144" s="1094">
        <f>ROUND(100+(J144-J140)*K139*100,1)</f>
        <v>103.2</v>
      </c>
    </row>
    <row r="145" spans="2:11" ht="15.75" thickBot="1">
      <c r="B145" s="2644" t="s">
        <v>2641</v>
      </c>
      <c r="C145" s="1097">
        <f>ROUND(MAX(C139:C144)/MIN(C139:C144)-1,3)</f>
        <v>7.2999999999999995E-2</v>
      </c>
      <c r="D145" s="1098"/>
      <c r="E145" s="1098"/>
      <c r="F145" s="2645" t="s">
        <v>2642</v>
      </c>
      <c r="G145" s="2646"/>
      <c r="H145" s="2647"/>
      <c r="I145" s="2648" t="s">
        <v>2639</v>
      </c>
      <c r="J145" s="1099">
        <v>8</v>
      </c>
      <c r="K145" s="1100">
        <f>ROUND(100+(J145-J140)*K139*100,1)</f>
        <v>99.2</v>
      </c>
    </row>
    <row r="147" spans="2:11">
      <c r="B147" s="2629" t="s">
        <v>2643</v>
      </c>
    </row>
    <row r="148" spans="2:11">
      <c r="B148" s="2629" t="s">
        <v>2644</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27" priority="14" stopIfTrue="1" operator="containsText" text="超过">
      <formula>NOT(ISERROR(SEARCH("超过",F52)))</formula>
    </cfRule>
  </conditionalFormatting>
  <conditionalFormatting sqref="J54">
    <cfRule type="containsText" dxfId="126" priority="13" stopIfTrue="1" operator="containsText" text="超过">
      <formula>NOT(ISERROR(SEARCH("超过",J54)))</formula>
    </cfRule>
  </conditionalFormatting>
  <conditionalFormatting sqref="H54">
    <cfRule type="containsText" dxfId="125" priority="12" stopIfTrue="1" operator="containsText" text="超过">
      <formula>NOT(ISERROR(SEARCH("超过",H54)))</formula>
    </cfRule>
  </conditionalFormatting>
  <conditionalFormatting sqref="F54">
    <cfRule type="containsText" dxfId="124" priority="11" stopIfTrue="1" operator="containsText" text="超过">
      <formula>NOT(ISERROR(SEARCH("超过",F54)))</formula>
    </cfRule>
  </conditionalFormatting>
  <conditionalFormatting sqref="F53 H53 J53">
    <cfRule type="containsText" dxfId="123" priority="10" stopIfTrue="1" operator="containsText" text="超过">
      <formula>NOT(ISERROR(SEARCH("超过",F53)))</formula>
    </cfRule>
  </conditionalFormatting>
  <conditionalFormatting sqref="E52">
    <cfRule type="expression" dxfId="122" priority="9"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8" zoomScale="90" zoomScaleNormal="90" workbookViewId="0">
      <selection activeCell="C33" sqref="C3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6"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2531</v>
      </c>
      <c r="B1" s="2576" t="s">
        <v>2532</v>
      </c>
      <c r="C1" s="1631" t="s">
        <v>2533</v>
      </c>
      <c r="D1" s="1618" t="s">
        <v>3101</v>
      </c>
      <c r="E1" s="2577"/>
      <c r="F1" s="2578" t="s">
        <v>2534</v>
      </c>
      <c r="G1" s="1628" t="s">
        <v>2535</v>
      </c>
      <c r="H1" s="1627"/>
      <c r="I1" s="1627"/>
      <c r="J1" s="1627"/>
      <c r="K1" s="1629"/>
      <c r="L1" s="1630"/>
      <c r="M1" s="1631"/>
      <c r="N1" s="1631"/>
      <c r="O1" s="1631"/>
      <c r="P1" s="2579"/>
      <c r="Q1" s="1617"/>
      <c r="R1" s="1617"/>
      <c r="S1" s="1617"/>
      <c r="T1" s="1617"/>
      <c r="U1" s="1617"/>
      <c r="V1" s="1617"/>
      <c r="W1" s="1617"/>
      <c r="X1" s="1617"/>
      <c r="Y1" s="1617"/>
      <c r="Z1" s="1617"/>
      <c r="AA1" s="1617"/>
      <c r="AB1" s="1617"/>
      <c r="AC1" s="1625"/>
    </row>
    <row r="2" spans="1:29" s="391" customFormat="1" ht="28.5" customHeight="1" thickTop="1">
      <c r="A2" s="1614" t="s">
        <v>1395</v>
      </c>
      <c r="B2" s="1415">
        <f>IF(C2="——",ROUND(C49*D3/10000,0),ROUND(C49*D3/10000,0)-D2)</f>
        <v>31281</v>
      </c>
      <c r="C2" s="2580" t="s">
        <v>70</v>
      </c>
      <c r="D2" s="1363" t="e">
        <f ca="1">SUMIF(INDIRECT("'"&amp;F2&amp;"'"&amp;"!A:A"),"承租人权益价值",INDIRECT("'"&amp;F2&amp;"'"&amp;"!c:c"))</f>
        <v>#REF!</v>
      </c>
      <c r="E2" s="2581" t="s">
        <v>2536</v>
      </c>
      <c r="F2" s="2582"/>
      <c r="G2" s="1122"/>
      <c r="H2" s="1122"/>
      <c r="I2" s="1122"/>
      <c r="J2" s="1122"/>
      <c r="K2" s="2583"/>
      <c r="L2" s="2584"/>
      <c r="M2" s="2585"/>
      <c r="N2" s="2585"/>
      <c r="O2" s="2585"/>
      <c r="P2" s="2586"/>
      <c r="Q2" s="2587"/>
      <c r="R2" s="2587"/>
      <c r="S2" s="2587"/>
      <c r="T2" s="2587"/>
      <c r="U2" s="2587"/>
      <c r="V2" s="2587"/>
      <c r="W2" s="2587"/>
      <c r="X2" s="2587"/>
      <c r="Y2" s="2587"/>
      <c r="Z2" s="2587"/>
      <c r="AA2" s="2587"/>
      <c r="AB2" s="2587"/>
      <c r="AC2" s="2588"/>
    </row>
    <row r="3" spans="1:29" s="391" customFormat="1" ht="28.5" customHeight="1" thickBot="1">
      <c r="A3" s="245" t="s">
        <v>1396</v>
      </c>
      <c r="B3" s="397">
        <f>IF(C2="——",C49,ROUND(B2*10000/D3,0))</f>
        <v>23620</v>
      </c>
      <c r="C3" s="398" t="s">
        <v>2537</v>
      </c>
      <c r="D3" s="397">
        <f>IF(D1="",'数据-汇总表'!E3,SUMIF('数据-汇总表'!$C19:$C33,D1,'数据-汇总表'!$E19:$E33))</f>
        <v>13243.629999999997</v>
      </c>
      <c r="E3" s="1122"/>
      <c r="F3" s="2589"/>
      <c r="G3" s="1122"/>
      <c r="H3" s="1122"/>
      <c r="I3" s="1122"/>
      <c r="J3" s="1122"/>
      <c r="K3" s="2583"/>
      <c r="L3" s="2584"/>
      <c r="M3" s="2585"/>
      <c r="N3" s="2585"/>
      <c r="O3" s="2585"/>
      <c r="P3" s="2586"/>
      <c r="Q3" s="2587"/>
      <c r="R3" s="2587"/>
      <c r="S3" s="2587"/>
      <c r="T3" s="2587"/>
      <c r="U3" s="2587"/>
      <c r="V3" s="2587"/>
      <c r="W3" s="2587"/>
      <c r="X3" s="2587"/>
      <c r="Y3" s="2587"/>
      <c r="Z3" s="2587"/>
      <c r="AA3" s="2587"/>
      <c r="AB3" s="2587"/>
      <c r="AC3" s="1280"/>
    </row>
    <row r="4" spans="1:29" ht="15">
      <c r="A4" s="399" t="s">
        <v>2538</v>
      </c>
      <c r="B4" s="400"/>
      <c r="C4" s="3201" t="s">
        <v>2539</v>
      </c>
      <c r="D4" s="3202"/>
      <c r="E4" s="3203" t="s">
        <v>2540</v>
      </c>
      <c r="F4" s="3204"/>
      <c r="G4" s="3201" t="s">
        <v>2541</v>
      </c>
      <c r="H4" s="3202"/>
      <c r="I4" s="3201" t="s">
        <v>2542</v>
      </c>
      <c r="J4" s="3202"/>
      <c r="K4" s="2590" t="s">
        <v>2543</v>
      </c>
      <c r="L4" s="1128"/>
      <c r="M4" s="1129"/>
      <c r="N4" s="1129"/>
      <c r="O4" s="1129"/>
      <c r="P4" s="3205" t="s">
        <v>2544</v>
      </c>
      <c r="Q4" s="3206"/>
      <c r="R4" s="3186" t="s">
        <v>2540</v>
      </c>
      <c r="S4" s="3187"/>
      <c r="T4" s="3186" t="s">
        <v>2541</v>
      </c>
      <c r="U4" s="3187"/>
      <c r="V4" s="3213" t="s">
        <v>2542</v>
      </c>
      <c r="W4" s="3213"/>
      <c r="X4" s="1810"/>
      <c r="Y4" s="3186" t="s">
        <v>2544</v>
      </c>
      <c r="Z4" s="3187"/>
      <c r="AA4" s="3181" t="s">
        <v>2540</v>
      </c>
      <c r="AB4" s="3181" t="s">
        <v>2541</v>
      </c>
      <c r="AC4" s="3181" t="s">
        <v>2542</v>
      </c>
    </row>
    <row r="5" spans="1:29" ht="15">
      <c r="A5" s="402"/>
      <c r="B5" s="403"/>
      <c r="C5" s="3192" t="s">
        <v>2545</v>
      </c>
      <c r="D5" s="3193"/>
      <c r="E5" s="3190" t="s">
        <v>3138</v>
      </c>
      <c r="F5" s="3191"/>
      <c r="G5" s="3196" t="s">
        <v>3155</v>
      </c>
      <c r="H5" s="3193"/>
      <c r="I5" s="3196" t="s">
        <v>3157</v>
      </c>
      <c r="J5" s="3193"/>
      <c r="K5" s="2591"/>
      <c r="L5" s="1128"/>
      <c r="M5" s="1129"/>
      <c r="N5" s="1129"/>
      <c r="O5" s="1129"/>
      <c r="P5" s="3207"/>
      <c r="Q5" s="3208"/>
      <c r="R5" s="3188"/>
      <c r="S5" s="3189"/>
      <c r="T5" s="3188"/>
      <c r="U5" s="3189"/>
      <c r="V5" s="3213"/>
      <c r="W5" s="3213"/>
      <c r="X5" s="1810"/>
      <c r="Y5" s="3188"/>
      <c r="Z5" s="3189"/>
      <c r="AA5" s="3182"/>
      <c r="AB5" s="3182"/>
      <c r="AC5" s="3182"/>
    </row>
    <row r="6" spans="1:29" ht="41.25" customHeight="1" thickBot="1">
      <c r="A6" s="404"/>
      <c r="B6" s="405"/>
      <c r="C6" s="3194" t="s">
        <v>2549</v>
      </c>
      <c r="D6" s="3195"/>
      <c r="E6" s="3197" t="s">
        <v>3137</v>
      </c>
      <c r="F6" s="3198"/>
      <c r="G6" s="3199" t="s">
        <v>3156</v>
      </c>
      <c r="H6" s="3195"/>
      <c r="I6" s="3199" t="s">
        <v>3158</v>
      </c>
      <c r="J6" s="3195"/>
      <c r="K6" s="2591" t="s">
        <v>2550</v>
      </c>
      <c r="L6" s="1128"/>
      <c r="M6" s="1129"/>
      <c r="N6" s="1129"/>
      <c r="O6" s="1129"/>
      <c r="P6" s="3209"/>
      <c r="Q6" s="3210"/>
      <c r="R6" s="3188"/>
      <c r="S6" s="3189"/>
      <c r="T6" s="3211"/>
      <c r="U6" s="3212"/>
      <c r="V6" s="3213"/>
      <c r="W6" s="3213"/>
      <c r="X6" s="1810"/>
      <c r="Y6" s="3211"/>
      <c r="Z6" s="3212"/>
      <c r="AA6" s="3183"/>
      <c r="AB6" s="3183"/>
      <c r="AC6" s="3183"/>
    </row>
    <row r="7" spans="1:29" s="115" customFormat="1" ht="15.75" thickBot="1">
      <c r="A7" s="406" t="s">
        <v>2551</v>
      </c>
      <c r="B7" s="407"/>
      <c r="C7" s="408">
        <f>'数据-取费表'!B2</f>
        <v>43056</v>
      </c>
      <c r="D7" s="409">
        <v>100</v>
      </c>
      <c r="E7" s="410">
        <f>C7</f>
        <v>43056</v>
      </c>
      <c r="F7" s="411">
        <f>SUMIF(58:58,YEAR(E7)&amp;"-"&amp;MONTH(E7),59:59)</f>
        <v>100</v>
      </c>
      <c r="G7" s="410">
        <f>C7</f>
        <v>43056</v>
      </c>
      <c r="H7" s="409">
        <f>SUMIF(58:58,YEAR(G7)&amp;"-"&amp;MONTH(G7),59:59)</f>
        <v>100</v>
      </c>
      <c r="I7" s="410">
        <f>C7</f>
        <v>43056</v>
      </c>
      <c r="J7" s="409">
        <f>SUMIF(58:58,YEAR(I7)&amp;"-"&amp;MONTH(I7),59:59)</f>
        <v>100</v>
      </c>
      <c r="K7" s="2592"/>
      <c r="L7" s="1130"/>
      <c r="M7" s="1131"/>
      <c r="N7" s="1131"/>
      <c r="O7" s="1131"/>
      <c r="P7" s="3184" t="s">
        <v>2552</v>
      </c>
      <c r="Q7" s="3214"/>
      <c r="R7" s="767" t="s">
        <v>23</v>
      </c>
      <c r="S7" s="768">
        <f t="shared" ref="S7:S15" si="0">F7</f>
        <v>100</v>
      </c>
      <c r="T7" s="767" t="s">
        <v>23</v>
      </c>
      <c r="U7" s="768">
        <f t="shared" ref="U7:U15" si="1">H7</f>
        <v>100</v>
      </c>
      <c r="V7" s="767" t="s">
        <v>23</v>
      </c>
      <c r="W7" s="768">
        <f t="shared" ref="W7:W15" si="2">J7</f>
        <v>100</v>
      </c>
      <c r="X7" s="769"/>
      <c r="Y7" s="3184" t="s">
        <v>2552</v>
      </c>
      <c r="Z7" s="3185"/>
      <c r="AA7" s="770">
        <f>D7/F7</f>
        <v>1</v>
      </c>
      <c r="AB7" s="770">
        <f>D7/H7</f>
        <v>1</v>
      </c>
      <c r="AC7" s="770">
        <f>D7/J7</f>
        <v>1</v>
      </c>
    </row>
    <row r="8" spans="1:29" s="115" customFormat="1" ht="15.75" thickBot="1">
      <c r="A8" s="406" t="s">
        <v>2553</v>
      </c>
      <c r="B8" s="407"/>
      <c r="C8" s="412" t="s">
        <v>2554</v>
      </c>
      <c r="D8" s="409">
        <v>100</v>
      </c>
      <c r="E8" s="2593" t="s">
        <v>3106</v>
      </c>
      <c r="F8" s="411">
        <f>SUMIF(61:61,E8,62:62)-SUMIF(61:61,C8,62:62)+100</f>
        <v>100</v>
      </c>
      <c r="G8" s="412" t="s">
        <v>3106</v>
      </c>
      <c r="H8" s="409">
        <f>SUMIF(61:61,G8,62:62)-SUMIF(61:61,C8,62:62)+100</f>
        <v>100</v>
      </c>
      <c r="I8" s="2593" t="s">
        <v>3106</v>
      </c>
      <c r="J8" s="409">
        <f>SUMIF(61:61,I8,62:62)-SUMIF(61:61,C8,62:62)+100</f>
        <v>100</v>
      </c>
      <c r="K8" s="2592"/>
      <c r="L8" s="1130"/>
      <c r="M8" s="1131"/>
      <c r="N8" s="1131"/>
      <c r="O8" s="1131"/>
      <c r="P8" s="3184" t="s">
        <v>2555</v>
      </c>
      <c r="Q8" s="3185"/>
      <c r="R8" s="767" t="s">
        <v>23</v>
      </c>
      <c r="S8" s="768">
        <f t="shared" si="0"/>
        <v>100</v>
      </c>
      <c r="T8" s="767" t="s">
        <v>23</v>
      </c>
      <c r="U8" s="768">
        <f t="shared" si="1"/>
        <v>100</v>
      </c>
      <c r="V8" s="767" t="s">
        <v>23</v>
      </c>
      <c r="W8" s="768">
        <f t="shared" si="2"/>
        <v>100</v>
      </c>
      <c r="X8" s="769"/>
      <c r="Y8" s="3184" t="s">
        <v>2555</v>
      </c>
      <c r="Z8" s="3185"/>
      <c r="AA8" s="770">
        <f t="shared" ref="AA8:AA19" si="3">D8/F8</f>
        <v>1</v>
      </c>
      <c r="AB8" s="770">
        <f t="shared" ref="AB8:AB19" si="4">D8/H8</f>
        <v>1</v>
      </c>
      <c r="AC8" s="770">
        <f t="shared" ref="AC8:AC19" si="5">D8/J8</f>
        <v>1</v>
      </c>
    </row>
    <row r="9" spans="1:29" s="115" customFormat="1">
      <c r="A9" s="413" t="s">
        <v>2556</v>
      </c>
      <c r="B9" s="70" t="s">
        <v>2557</v>
      </c>
      <c r="C9" s="2946" t="s">
        <v>3139</v>
      </c>
      <c r="D9" s="132">
        <v>100</v>
      </c>
      <c r="E9" s="415" t="s">
        <v>3079</v>
      </c>
      <c r="F9" s="416">
        <f>SUMIF(63:63,E9,64:64)-SUMIF(63:63,C9,64:64)+100</f>
        <v>100</v>
      </c>
      <c r="G9" s="417" t="s">
        <v>3079</v>
      </c>
      <c r="H9" s="132">
        <f>SUMIF(63:63,G9,64:64)-SUMIF(63:63,C9,64:64)+100</f>
        <v>100</v>
      </c>
      <c r="I9" s="417" t="s">
        <v>3079</v>
      </c>
      <c r="J9" s="132">
        <f>SUMIF(63:63,I9,64:64)-SUMIF(63:63,C9,64:64)+100</f>
        <v>100</v>
      </c>
      <c r="K9" s="2592"/>
      <c r="L9" s="1130"/>
      <c r="M9" s="1131"/>
      <c r="N9" s="1131"/>
      <c r="O9" s="1131"/>
      <c r="P9" s="3224" t="s">
        <v>2558</v>
      </c>
      <c r="Q9" s="1792" t="str">
        <f t="shared" ref="Q9:Q15" si="6">B9</f>
        <v>用途</v>
      </c>
      <c r="R9" s="767" t="s">
        <v>17</v>
      </c>
      <c r="S9" s="768">
        <f t="shared" si="0"/>
        <v>100</v>
      </c>
      <c r="T9" s="767" t="s">
        <v>17</v>
      </c>
      <c r="U9" s="768">
        <f t="shared" si="1"/>
        <v>100</v>
      </c>
      <c r="V9" s="767" t="s">
        <v>17</v>
      </c>
      <c r="W9" s="768">
        <f t="shared" si="2"/>
        <v>100</v>
      </c>
      <c r="X9" s="769"/>
      <c r="Y9" s="3058" t="s">
        <v>2559</v>
      </c>
      <c r="Z9" s="54" t="str">
        <f t="shared" ref="Z9:Z15" si="7">Q9</f>
        <v>用途</v>
      </c>
      <c r="AA9" s="770">
        <f t="shared" si="3"/>
        <v>1</v>
      </c>
      <c r="AB9" s="770">
        <f t="shared" si="4"/>
        <v>1</v>
      </c>
      <c r="AC9" s="770">
        <f t="shared" si="5"/>
        <v>1</v>
      </c>
    </row>
    <row r="10" spans="1:29" s="425" customFormat="1" ht="27">
      <c r="A10" s="419"/>
      <c r="B10" s="420" t="s">
        <v>2560</v>
      </c>
      <c r="C10" s="421" t="s">
        <v>3140</v>
      </c>
      <c r="D10" s="133">
        <v>100</v>
      </c>
      <c r="E10" s="422" t="s">
        <v>3140</v>
      </c>
      <c r="F10" s="423">
        <f>SUMIF(65:65,E10,66:66)-SUMIF(65:65,C10,66:66)+100</f>
        <v>100</v>
      </c>
      <c r="G10" s="421" t="s">
        <v>3140</v>
      </c>
      <c r="H10" s="133">
        <f>SUMIF(65:65,G10,66:66)-SUMIF(65:65,C10,66:66)+100</f>
        <v>100</v>
      </c>
      <c r="I10" s="421" t="s">
        <v>3140</v>
      </c>
      <c r="J10" s="133">
        <f>SUMIF(65:65,I10,66:66)-SUMIF(65:65,C10,66:66)+100</f>
        <v>100</v>
      </c>
      <c r="K10" s="424">
        <v>2</v>
      </c>
      <c r="L10" s="1133"/>
      <c r="M10" s="1134"/>
      <c r="N10" s="1134"/>
      <c r="O10" s="1134"/>
      <c r="P10" s="3224"/>
      <c r="Q10" s="1792" t="str">
        <f t="shared" si="6"/>
        <v>土地使用年限（年）</v>
      </c>
      <c r="R10" s="767" t="s">
        <v>17</v>
      </c>
      <c r="S10" s="768">
        <f t="shared" si="0"/>
        <v>100</v>
      </c>
      <c r="T10" s="767" t="s">
        <v>17</v>
      </c>
      <c r="U10" s="768">
        <f t="shared" si="1"/>
        <v>100</v>
      </c>
      <c r="V10" s="767" t="s">
        <v>17</v>
      </c>
      <c r="W10" s="768">
        <f t="shared" si="2"/>
        <v>100</v>
      </c>
      <c r="X10" s="769"/>
      <c r="Y10" s="3058"/>
      <c r="Z10" s="54" t="str">
        <f t="shared" si="7"/>
        <v>土地使用年限（年）</v>
      </c>
      <c r="AA10" s="770">
        <f t="shared" si="3"/>
        <v>1</v>
      </c>
      <c r="AB10" s="770">
        <f t="shared" si="4"/>
        <v>1</v>
      </c>
      <c r="AC10" s="770">
        <f t="shared" si="5"/>
        <v>1</v>
      </c>
    </row>
    <row r="11" spans="1:29" ht="15.75" thickBot="1">
      <c r="A11" s="426"/>
      <c r="B11" s="420" t="s">
        <v>2561</v>
      </c>
      <c r="C11" s="427">
        <f>'数据-汇总表'!I4</f>
        <v>2.54</v>
      </c>
      <c r="D11" s="133">
        <v>100</v>
      </c>
      <c r="E11" s="428">
        <v>3</v>
      </c>
      <c r="F11" s="423">
        <f>LOOKUP(E11,68:68,69:69)-LOOKUP(C11,68:68,69:69)+100</f>
        <v>98</v>
      </c>
      <c r="G11" s="427">
        <v>3</v>
      </c>
      <c r="H11" s="133">
        <f>LOOKUP(G11,68:68,69:69)-LOOKUP(C11,68:68,69:69)+100</f>
        <v>98</v>
      </c>
      <c r="I11" s="427">
        <v>1.3</v>
      </c>
      <c r="J11" s="133">
        <f>LOOKUP(I11,68:68,69:69)-LOOKUP(C11,68:68,69:69)+100</f>
        <v>102</v>
      </c>
      <c r="K11" s="424">
        <v>2</v>
      </c>
      <c r="L11" s="1136"/>
      <c r="M11" s="1129"/>
      <c r="N11" s="1129"/>
      <c r="O11" s="1129"/>
      <c r="P11" s="3224"/>
      <c r="Q11" s="1792" t="str">
        <f t="shared" si="6"/>
        <v>容积率</v>
      </c>
      <c r="R11" s="767" t="s">
        <v>21</v>
      </c>
      <c r="S11" s="768">
        <f t="shared" si="0"/>
        <v>98</v>
      </c>
      <c r="T11" s="767" t="s">
        <v>21</v>
      </c>
      <c r="U11" s="768">
        <f t="shared" si="1"/>
        <v>98</v>
      </c>
      <c r="V11" s="767" t="s">
        <v>21</v>
      </c>
      <c r="W11" s="768">
        <f t="shared" si="2"/>
        <v>102</v>
      </c>
      <c r="X11" s="769"/>
      <c r="Y11" s="3058"/>
      <c r="Z11" s="54" t="str">
        <f t="shared" si="7"/>
        <v>容积率</v>
      </c>
      <c r="AA11" s="770">
        <f t="shared" si="3"/>
        <v>1.0204081632653061</v>
      </c>
      <c r="AB11" s="770">
        <f t="shared" si="4"/>
        <v>1.0204081632653061</v>
      </c>
      <c r="AC11" s="770">
        <f t="shared" si="5"/>
        <v>0.98039215686274506</v>
      </c>
    </row>
    <row r="12" spans="1:29" s="115" customFormat="1" ht="15" hidden="1">
      <c r="A12" s="429"/>
      <c r="B12" s="2594">
        <v>111</v>
      </c>
      <c r="C12" s="430"/>
      <c r="D12" s="431">
        <v>100</v>
      </c>
      <c r="E12" s="430"/>
      <c r="F12" s="423">
        <f>SUMIF(70:70,E12,71:71)-SUMIF(70:70,C12,71:71)+100</f>
        <v>100</v>
      </c>
      <c r="G12" s="430"/>
      <c r="H12" s="133">
        <f>SUMIF(70:70,G12,71:71)-SUMIF(70:70,C12,71:71)+100</f>
        <v>100</v>
      </c>
      <c r="I12" s="430"/>
      <c r="J12" s="133">
        <f>SUMIF(70:70,I12,71:71)-SUMIF(70:70,C12,71:71)+100</f>
        <v>100</v>
      </c>
      <c r="K12" s="2595"/>
      <c r="L12" s="1130"/>
      <c r="M12" s="1131"/>
      <c r="N12" s="1131"/>
      <c r="O12" s="1131"/>
      <c r="P12" s="3224"/>
      <c r="Q12" s="1792">
        <f t="shared" si="6"/>
        <v>111</v>
      </c>
      <c r="R12" s="767" t="s">
        <v>21</v>
      </c>
      <c r="S12" s="768">
        <f t="shared" si="0"/>
        <v>100</v>
      </c>
      <c r="T12" s="767" t="s">
        <v>21</v>
      </c>
      <c r="U12" s="768">
        <f t="shared" si="1"/>
        <v>100</v>
      </c>
      <c r="V12" s="767" t="s">
        <v>21</v>
      </c>
      <c r="W12" s="768">
        <f t="shared" si="2"/>
        <v>100</v>
      </c>
      <c r="X12" s="769"/>
      <c r="Y12" s="3058"/>
      <c r="Z12" s="54">
        <f t="shared" si="7"/>
        <v>111</v>
      </c>
      <c r="AA12" s="770">
        <f>D12/F12</f>
        <v>1</v>
      </c>
      <c r="AB12" s="770">
        <f>D12/H12</f>
        <v>1</v>
      </c>
      <c r="AC12" s="770">
        <f>D12/J12</f>
        <v>1</v>
      </c>
    </row>
    <row r="13" spans="1:29" ht="15" hidden="1">
      <c r="A13" s="426"/>
      <c r="B13" s="2594">
        <v>111</v>
      </c>
      <c r="C13" s="432"/>
      <c r="D13" s="433">
        <v>100</v>
      </c>
      <c r="E13" s="432"/>
      <c r="F13" s="423">
        <f>SUMIF(72:72,E13,73:73)-SUMIF(72:72,C13,73:73)+100</f>
        <v>100</v>
      </c>
      <c r="G13" s="432"/>
      <c r="H13" s="433">
        <f>SUMIF(72:72,G13,73:73)-SUMIF(72:72,C13,73:73)+100</f>
        <v>100</v>
      </c>
      <c r="I13" s="432"/>
      <c r="J13" s="433">
        <f>SUMIF(72:72,I13,73:73)-SUMIF(72:72,C13,73:73)+100</f>
        <v>100</v>
      </c>
      <c r="K13" s="2595"/>
      <c r="L13" s="1138"/>
      <c r="M13" s="1129"/>
      <c r="N13" s="1129"/>
      <c r="O13" s="1129"/>
      <c r="P13" s="3224"/>
      <c r="Q13" s="1792">
        <f t="shared" si="6"/>
        <v>111</v>
      </c>
      <c r="R13" s="767" t="s">
        <v>21</v>
      </c>
      <c r="S13" s="768">
        <f t="shared" si="0"/>
        <v>100</v>
      </c>
      <c r="T13" s="767" t="s">
        <v>21</v>
      </c>
      <c r="U13" s="768">
        <f t="shared" si="1"/>
        <v>100</v>
      </c>
      <c r="V13" s="767" t="s">
        <v>21</v>
      </c>
      <c r="W13" s="768">
        <f t="shared" si="2"/>
        <v>100</v>
      </c>
      <c r="X13" s="769"/>
      <c r="Y13" s="3058"/>
      <c r="Z13" s="54">
        <f t="shared" si="7"/>
        <v>111</v>
      </c>
      <c r="AA13" s="770">
        <f t="shared" si="3"/>
        <v>1</v>
      </c>
      <c r="AB13" s="770">
        <f t="shared" si="4"/>
        <v>1</v>
      </c>
      <c r="AC13" s="770">
        <f t="shared" si="5"/>
        <v>1</v>
      </c>
    </row>
    <row r="14" spans="1:29" ht="15.75" hidden="1" thickBot="1">
      <c r="A14" s="434"/>
      <c r="B14" s="2596">
        <v>111</v>
      </c>
      <c r="C14" s="435"/>
      <c r="D14" s="436">
        <v>100</v>
      </c>
      <c r="E14" s="435"/>
      <c r="F14" s="437">
        <f>SUMIF(74:74,E14,75:75)-SUMIF(74:74,C14,75:75)+100</f>
        <v>100</v>
      </c>
      <c r="G14" s="435"/>
      <c r="H14" s="436">
        <f>SUMIF(74:74,G14,75:75)-SUMIF(74:74,C14,75:75)+100</f>
        <v>100</v>
      </c>
      <c r="I14" s="435"/>
      <c r="J14" s="436">
        <f>SUMIF(74:74,I14,75:75)-SUMIF(74:74,C14,75:75)+100</f>
        <v>100</v>
      </c>
      <c r="K14" s="2595"/>
      <c r="L14" s="1138"/>
      <c r="M14" s="1129"/>
      <c r="N14" s="1129"/>
      <c r="O14" s="1129"/>
      <c r="P14" s="3224"/>
      <c r="Q14" s="1792">
        <f t="shared" si="6"/>
        <v>111</v>
      </c>
      <c r="R14" s="767" t="s">
        <v>21</v>
      </c>
      <c r="S14" s="768">
        <f t="shared" si="0"/>
        <v>100</v>
      </c>
      <c r="T14" s="767" t="s">
        <v>21</v>
      </c>
      <c r="U14" s="768">
        <f t="shared" si="1"/>
        <v>100</v>
      </c>
      <c r="V14" s="767" t="s">
        <v>21</v>
      </c>
      <c r="W14" s="768">
        <f t="shared" si="2"/>
        <v>100</v>
      </c>
      <c r="X14" s="769"/>
      <c r="Y14" s="3058"/>
      <c r="Z14" s="54">
        <f t="shared" si="7"/>
        <v>111</v>
      </c>
      <c r="AA14" s="770">
        <f t="shared" si="3"/>
        <v>1</v>
      </c>
      <c r="AB14" s="770">
        <f t="shared" si="4"/>
        <v>1</v>
      </c>
      <c r="AC14" s="770">
        <f t="shared" si="5"/>
        <v>1</v>
      </c>
    </row>
    <row r="15" spans="1:29" ht="99.75">
      <c r="A15" s="438" t="s">
        <v>2562</v>
      </c>
      <c r="B15" s="68" t="s">
        <v>2091</v>
      </c>
      <c r="C15" s="2597"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103</v>
      </c>
      <c r="I15" s="440"/>
      <c r="J15" s="439">
        <f>SUMIF(76:76,I16,77:77)-SUMIF(76:76,C16,77:77)+100</f>
        <v>100</v>
      </c>
      <c r="K15" s="443">
        <v>3</v>
      </c>
      <c r="L15" s="1138"/>
      <c r="M15" s="1129"/>
      <c r="N15" s="1129"/>
      <c r="O15" s="1129"/>
      <c r="P15" s="3233" t="s">
        <v>2563</v>
      </c>
      <c r="Q15" s="1807" t="str">
        <f t="shared" si="6"/>
        <v>居住社区成熟度</v>
      </c>
      <c r="R15" s="771" t="s">
        <v>21</v>
      </c>
      <c r="S15" s="772">
        <f t="shared" si="0"/>
        <v>100</v>
      </c>
      <c r="T15" s="771" t="s">
        <v>21</v>
      </c>
      <c r="U15" s="772">
        <f t="shared" si="1"/>
        <v>103</v>
      </c>
      <c r="V15" s="771" t="s">
        <v>21</v>
      </c>
      <c r="W15" s="772">
        <f t="shared" si="2"/>
        <v>100</v>
      </c>
      <c r="X15" s="1810"/>
      <c r="Y15" s="3215" t="s">
        <v>2563</v>
      </c>
      <c r="Z15" s="1811" t="str">
        <f t="shared" si="7"/>
        <v>居住社区成熟度</v>
      </c>
      <c r="AA15" s="1808">
        <f t="shared" si="3"/>
        <v>1</v>
      </c>
      <c r="AB15" s="1808">
        <f t="shared" si="4"/>
        <v>0.970873786407767</v>
      </c>
      <c r="AC15" s="1808">
        <f t="shared" si="5"/>
        <v>1</v>
      </c>
    </row>
    <row r="16" spans="1:29" ht="15">
      <c r="A16" s="426"/>
      <c r="B16" s="444"/>
      <c r="C16" s="445" t="s">
        <v>3110</v>
      </c>
      <c r="D16" s="446"/>
      <c r="E16" s="2598" t="s">
        <v>3110</v>
      </c>
      <c r="F16" s="446"/>
      <c r="G16" s="2599" t="s">
        <v>3111</v>
      </c>
      <c r="H16" s="448"/>
      <c r="I16" s="2599" t="s">
        <v>3110</v>
      </c>
      <c r="J16" s="446"/>
      <c r="K16" s="2600"/>
      <c r="L16" s="1138"/>
      <c r="M16" s="1129"/>
      <c r="N16" s="1129"/>
      <c r="O16" s="1129"/>
      <c r="P16" s="3234"/>
      <c r="Q16" s="1807"/>
      <c r="R16" s="771"/>
      <c r="S16" s="772"/>
      <c r="T16" s="771"/>
      <c r="U16" s="772"/>
      <c r="V16" s="771"/>
      <c r="W16" s="772"/>
      <c r="X16" s="1810"/>
      <c r="Y16" s="3216"/>
      <c r="Z16" s="1811"/>
      <c r="AA16" s="1808">
        <v>1</v>
      </c>
      <c r="AB16" s="1808">
        <v>1</v>
      </c>
      <c r="AC16" s="1808">
        <v>1</v>
      </c>
    </row>
    <row r="17" spans="1:29" ht="85.5">
      <c r="A17" s="426"/>
      <c r="B17" s="449" t="s">
        <v>2103</v>
      </c>
      <c r="C17" s="2601"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v>3</v>
      </c>
      <c r="L17" s="1138"/>
      <c r="M17" s="1129"/>
      <c r="N17" s="1129"/>
      <c r="O17" s="1129"/>
      <c r="P17" s="3234"/>
      <c r="Q17" s="1807" t="str">
        <f>B17</f>
        <v>交通便捷度</v>
      </c>
      <c r="R17" s="771" t="s">
        <v>21</v>
      </c>
      <c r="S17" s="772">
        <f>F17</f>
        <v>100</v>
      </c>
      <c r="T17" s="771" t="s">
        <v>21</v>
      </c>
      <c r="U17" s="772">
        <f>H17</f>
        <v>100</v>
      </c>
      <c r="V17" s="771" t="s">
        <v>21</v>
      </c>
      <c r="W17" s="772">
        <f>J17</f>
        <v>100</v>
      </c>
      <c r="X17" s="1810"/>
      <c r="Y17" s="3216"/>
      <c r="Z17" s="1811" t="str">
        <f>Q17</f>
        <v>交通便捷度</v>
      </c>
      <c r="AA17" s="1808">
        <f t="shared" si="3"/>
        <v>1</v>
      </c>
      <c r="AB17" s="1808">
        <f t="shared" si="4"/>
        <v>1</v>
      </c>
      <c r="AC17" s="1808">
        <f t="shared" si="5"/>
        <v>1</v>
      </c>
    </row>
    <row r="18" spans="1:29" ht="15">
      <c r="A18" s="426"/>
      <c r="B18" s="454"/>
      <c r="C18" s="2602" t="s">
        <v>3110</v>
      </c>
      <c r="D18" s="448"/>
      <c r="E18" s="2603" t="s">
        <v>3110</v>
      </c>
      <c r="F18" s="448"/>
      <c r="G18" s="2604" t="s">
        <v>3110</v>
      </c>
      <c r="H18" s="446"/>
      <c r="I18" s="2604" t="s">
        <v>3110</v>
      </c>
      <c r="J18" s="446"/>
      <c r="K18" s="2600"/>
      <c r="L18" s="1138"/>
      <c r="M18" s="1129"/>
      <c r="N18" s="1129"/>
      <c r="O18" s="1129"/>
      <c r="P18" s="3234"/>
      <c r="Q18" s="1807"/>
      <c r="R18" s="771"/>
      <c r="S18" s="772"/>
      <c r="T18" s="771"/>
      <c r="U18" s="772"/>
      <c r="V18" s="771"/>
      <c r="W18" s="772"/>
      <c r="X18" s="1810"/>
      <c r="Y18" s="3216"/>
      <c r="Z18" s="1811"/>
      <c r="AA18" s="1808">
        <v>1</v>
      </c>
      <c r="AB18" s="1808">
        <v>1</v>
      </c>
      <c r="AC18" s="1808">
        <v>1</v>
      </c>
    </row>
    <row r="19" spans="1:29" ht="42.75">
      <c r="A19" s="426"/>
      <c r="B19" s="449" t="s">
        <v>2101</v>
      </c>
      <c r="C19" s="2601"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v>3</v>
      </c>
      <c r="L19" s="1138"/>
      <c r="M19" s="1129"/>
      <c r="N19" s="1129"/>
      <c r="O19" s="1129"/>
      <c r="P19" s="3234"/>
      <c r="Q19" s="1807" t="str">
        <f>B19</f>
        <v>公共配套设施</v>
      </c>
      <c r="R19" s="771" t="s">
        <v>21</v>
      </c>
      <c r="S19" s="772">
        <f>F19</f>
        <v>100</v>
      </c>
      <c r="T19" s="771" t="s">
        <v>21</v>
      </c>
      <c r="U19" s="772">
        <f>H19</f>
        <v>100</v>
      </c>
      <c r="V19" s="771" t="s">
        <v>21</v>
      </c>
      <c r="W19" s="772">
        <f>J19</f>
        <v>100</v>
      </c>
      <c r="X19" s="1810"/>
      <c r="Y19" s="3216"/>
      <c r="Z19" s="1811" t="str">
        <f>Q19</f>
        <v>公共配套设施</v>
      </c>
      <c r="AA19" s="1808">
        <f t="shared" si="3"/>
        <v>1</v>
      </c>
      <c r="AB19" s="1808">
        <f t="shared" si="4"/>
        <v>1</v>
      </c>
      <c r="AC19" s="1808">
        <f t="shared" si="5"/>
        <v>1</v>
      </c>
    </row>
    <row r="20" spans="1:29" ht="15">
      <c r="A20" s="426"/>
      <c r="B20" s="454"/>
      <c r="C20" s="445" t="s">
        <v>3111</v>
      </c>
      <c r="D20" s="446"/>
      <c r="E20" s="2598" t="s">
        <v>3111</v>
      </c>
      <c r="F20" s="446"/>
      <c r="G20" s="2599" t="s">
        <v>3111</v>
      </c>
      <c r="H20" s="446"/>
      <c r="I20" s="2599" t="s">
        <v>3111</v>
      </c>
      <c r="J20" s="446"/>
      <c r="K20" s="2600"/>
      <c r="L20" s="1138"/>
      <c r="M20" s="1129"/>
      <c r="N20" s="1129"/>
      <c r="O20" s="1129"/>
      <c r="P20" s="3234"/>
      <c r="Q20" s="1807"/>
      <c r="R20" s="771"/>
      <c r="S20" s="772"/>
      <c r="T20" s="771"/>
      <c r="U20" s="772"/>
      <c r="V20" s="771"/>
      <c r="W20" s="772"/>
      <c r="X20" s="1810"/>
      <c r="Y20" s="3216"/>
      <c r="Z20" s="1811"/>
      <c r="AA20" s="1808">
        <v>1</v>
      </c>
      <c r="AB20" s="1808">
        <v>1</v>
      </c>
      <c r="AC20" s="1808">
        <v>1</v>
      </c>
    </row>
    <row r="21" spans="1:29" ht="28.5">
      <c r="A21" s="426"/>
      <c r="B21" s="1382" t="s">
        <v>2104</v>
      </c>
      <c r="C21" s="2601"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v>2</v>
      </c>
      <c r="L21" s="1138"/>
      <c r="M21" s="1129"/>
      <c r="N21" s="1129"/>
      <c r="O21" s="1129"/>
      <c r="P21" s="3234"/>
      <c r="Q21" s="1807" t="str">
        <f>B21</f>
        <v>基础设施水平</v>
      </c>
      <c r="R21" s="771" t="s">
        <v>17</v>
      </c>
      <c r="S21" s="772">
        <f>F21</f>
        <v>100</v>
      </c>
      <c r="T21" s="771" t="s">
        <v>17</v>
      </c>
      <c r="U21" s="772">
        <f>H21</f>
        <v>100</v>
      </c>
      <c r="V21" s="771" t="s">
        <v>17</v>
      </c>
      <c r="W21" s="772">
        <f>J21</f>
        <v>100</v>
      </c>
      <c r="X21" s="1810"/>
      <c r="Y21" s="3216"/>
      <c r="Z21" s="1811" t="str">
        <f>Q21</f>
        <v>基础设施水平</v>
      </c>
      <c r="AA21" s="1808">
        <f t="shared" ref="AA21" si="8">D21/F21</f>
        <v>1</v>
      </c>
      <c r="AB21" s="1808">
        <f t="shared" ref="AB21" si="9">D21/H21</f>
        <v>1</v>
      </c>
      <c r="AC21" s="1808">
        <f t="shared" ref="AC21" si="10">D21/J21</f>
        <v>1</v>
      </c>
    </row>
    <row r="22" spans="1:29" ht="15">
      <c r="A22" s="426"/>
      <c r="B22" s="1382"/>
      <c r="C22" s="2602" t="s">
        <v>3112</v>
      </c>
      <c r="D22" s="446"/>
      <c r="E22" s="445" t="s">
        <v>3112</v>
      </c>
      <c r="F22" s="446"/>
      <c r="G22" s="2605" t="s">
        <v>3112</v>
      </c>
      <c r="H22" s="446"/>
      <c r="I22" s="445" t="s">
        <v>3112</v>
      </c>
      <c r="J22" s="446"/>
      <c r="K22" s="2606"/>
      <c r="L22" s="1138"/>
      <c r="M22" s="1129"/>
      <c r="N22" s="1129"/>
      <c r="O22" s="1129"/>
      <c r="P22" s="3234"/>
      <c r="Q22" s="1807"/>
      <c r="R22" s="771"/>
      <c r="S22" s="772"/>
      <c r="T22" s="771"/>
      <c r="U22" s="772"/>
      <c r="V22" s="771"/>
      <c r="W22" s="772"/>
      <c r="X22" s="1810"/>
      <c r="Y22" s="3216"/>
      <c r="Z22" s="1811"/>
      <c r="AA22" s="1808">
        <v>1</v>
      </c>
      <c r="AB22" s="1808">
        <v>1</v>
      </c>
      <c r="AC22" s="1808">
        <v>1</v>
      </c>
    </row>
    <row r="23" spans="1:29" ht="57">
      <c r="A23" s="426"/>
      <c r="B23" s="449" t="s">
        <v>2108</v>
      </c>
      <c r="C23" s="2601"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v>2</v>
      </c>
      <c r="L23" s="1138"/>
      <c r="M23" s="1129"/>
      <c r="N23" s="1129"/>
      <c r="O23" s="1129"/>
      <c r="P23" s="3234"/>
      <c r="Q23" s="1807" t="str">
        <f>B23</f>
        <v>自然及人文环境</v>
      </c>
      <c r="R23" s="771" t="s">
        <v>21</v>
      </c>
      <c r="S23" s="772">
        <f>F23</f>
        <v>100</v>
      </c>
      <c r="T23" s="771" t="s">
        <v>21</v>
      </c>
      <c r="U23" s="772">
        <f>H23</f>
        <v>100</v>
      </c>
      <c r="V23" s="771" t="s">
        <v>21</v>
      </c>
      <c r="W23" s="772">
        <f>J23</f>
        <v>100</v>
      </c>
      <c r="X23" s="1810"/>
      <c r="Y23" s="3216"/>
      <c r="Z23" s="1811" t="str">
        <f>Q23</f>
        <v>自然及人文环境</v>
      </c>
      <c r="AA23" s="1808">
        <f>D23/F23</f>
        <v>1</v>
      </c>
      <c r="AB23" s="1808">
        <f>D23/H23</f>
        <v>1</v>
      </c>
      <c r="AC23" s="1808">
        <f>D23/J23</f>
        <v>1</v>
      </c>
    </row>
    <row r="24" spans="1:29" ht="15.75" thickBot="1">
      <c r="A24" s="426"/>
      <c r="B24" s="454"/>
      <c r="C24" s="445" t="s">
        <v>3111</v>
      </c>
      <c r="D24" s="446"/>
      <c r="E24" s="2598" t="s">
        <v>3111</v>
      </c>
      <c r="F24" s="446"/>
      <c r="G24" s="2599" t="s">
        <v>3111</v>
      </c>
      <c r="H24" s="446"/>
      <c r="I24" s="2599" t="s">
        <v>3111</v>
      </c>
      <c r="J24" s="446"/>
      <c r="K24" s="2600"/>
      <c r="L24" s="1138"/>
      <c r="M24" s="1129"/>
      <c r="N24" s="1129"/>
      <c r="O24" s="1129"/>
      <c r="P24" s="3234"/>
      <c r="Q24" s="1807"/>
      <c r="R24" s="771"/>
      <c r="S24" s="772"/>
      <c r="T24" s="771"/>
      <c r="U24" s="772"/>
      <c r="V24" s="771"/>
      <c r="W24" s="772"/>
      <c r="X24" s="1810"/>
      <c r="Y24" s="3216"/>
      <c r="Z24" s="1811"/>
      <c r="AA24" s="1808">
        <v>1</v>
      </c>
      <c r="AB24" s="1808">
        <v>1</v>
      </c>
      <c r="AC24" s="1808">
        <v>1</v>
      </c>
    </row>
    <row r="25" spans="1:29" ht="15" hidden="1">
      <c r="A25" s="426"/>
      <c r="B25" s="420" t="s">
        <v>2564</v>
      </c>
      <c r="C25" s="458"/>
      <c r="D25" s="433">
        <v>100</v>
      </c>
      <c r="E25" s="2607"/>
      <c r="F25" s="433">
        <f>SUMIF(86:86,E25,87:87)-SUMIF(86:86,C25,87:87)+100</f>
        <v>100</v>
      </c>
      <c r="G25" s="2608"/>
      <c r="H25" s="433">
        <f>SUMIF(86:86,G25,87:87)-SUMIF(86:86,C25,87:87)+100</f>
        <v>100</v>
      </c>
      <c r="I25" s="2608"/>
      <c r="J25" s="433">
        <f>SUMIF(86:86,I25,87:87)-SUMIF(86:86,C25,87:87)+100</f>
        <v>100</v>
      </c>
      <c r="K25" s="424"/>
      <c r="L25" s="1138"/>
      <c r="M25" s="1129"/>
      <c r="N25" s="1129"/>
      <c r="O25" s="1129"/>
      <c r="P25" s="3234"/>
      <c r="Q25" s="1807" t="str">
        <f t="shared" ref="Q25:Q46" si="11">B25</f>
        <v>楼层-1</v>
      </c>
      <c r="R25" s="771" t="s">
        <v>21</v>
      </c>
      <c r="S25" s="772">
        <f t="shared" ref="S25:S46" si="12">F25</f>
        <v>100</v>
      </c>
      <c r="T25" s="771" t="s">
        <v>21</v>
      </c>
      <c r="U25" s="772">
        <f t="shared" ref="U25:U46" si="13">H25</f>
        <v>100</v>
      </c>
      <c r="V25" s="771" t="s">
        <v>21</v>
      </c>
      <c r="W25" s="772">
        <f t="shared" ref="W25:W46" si="14">J25</f>
        <v>100</v>
      </c>
      <c r="X25" s="1810"/>
      <c r="Y25" s="3216"/>
      <c r="Z25" s="1811" t="str">
        <f>Q25</f>
        <v>楼层-1</v>
      </c>
      <c r="AA25" s="1808">
        <f t="shared" ref="AA25:AA46" si="15">D25/F25</f>
        <v>1</v>
      </c>
      <c r="AB25" s="1808">
        <f t="shared" ref="AB25:AB46" si="16">D25/H25</f>
        <v>1</v>
      </c>
      <c r="AC25" s="1808">
        <f t="shared" ref="AC25:AC46" si="17">D25/J25</f>
        <v>1</v>
      </c>
    </row>
    <row r="26" spans="1:29" ht="15" hidden="1">
      <c r="A26" s="426"/>
      <c r="B26" s="420" t="s">
        <v>2565</v>
      </c>
      <c r="C26" s="458"/>
      <c r="D26" s="433">
        <v>100</v>
      </c>
      <c r="E26" s="2607"/>
      <c r="F26" s="433">
        <f>SUMIF(88:88,E26,89:89)-SUMIF(88:88,C26,89:89)+100</f>
        <v>100</v>
      </c>
      <c r="G26" s="2608"/>
      <c r="H26" s="433">
        <f>SUMIF(88:88,G26,89:89)-SUMIF(88:88,C26,89:89)+100</f>
        <v>100</v>
      </c>
      <c r="I26" s="2608"/>
      <c r="J26" s="433">
        <f>SUMIF(88:88,I26,89:89)-SUMIF(88:88,C26,89:89)+100</f>
        <v>100</v>
      </c>
      <c r="K26" s="424"/>
      <c r="L26" s="1138"/>
      <c r="M26" s="1129"/>
      <c r="N26" s="1129"/>
      <c r="O26" s="1129"/>
      <c r="P26" s="3234"/>
      <c r="Q26" s="1807" t="str">
        <f t="shared" si="11"/>
        <v>朝向</v>
      </c>
      <c r="R26" s="771" t="s">
        <v>21</v>
      </c>
      <c r="S26" s="772">
        <f t="shared" si="12"/>
        <v>100</v>
      </c>
      <c r="T26" s="771" t="s">
        <v>21</v>
      </c>
      <c r="U26" s="772">
        <f t="shared" si="13"/>
        <v>100</v>
      </c>
      <c r="V26" s="771" t="s">
        <v>21</v>
      </c>
      <c r="W26" s="772">
        <f t="shared" si="14"/>
        <v>100</v>
      </c>
      <c r="X26" s="1810"/>
      <c r="Y26" s="3216"/>
      <c r="Z26" s="1811" t="str">
        <f>Q26</f>
        <v>朝向</v>
      </c>
      <c r="AA26" s="1808">
        <f t="shared" si="15"/>
        <v>1</v>
      </c>
      <c r="AB26" s="1808">
        <f t="shared" si="16"/>
        <v>1</v>
      </c>
      <c r="AC26" s="1808">
        <f t="shared" si="17"/>
        <v>1</v>
      </c>
    </row>
    <row r="27" spans="1:29" s="115" customFormat="1" ht="15" hidden="1">
      <c r="A27" s="429"/>
      <c r="B27" s="1384">
        <v>111</v>
      </c>
      <c r="C27" s="430"/>
      <c r="D27" s="460">
        <v>100</v>
      </c>
      <c r="E27" s="463"/>
      <c r="F27" s="460">
        <f>SUMIF(90:90,E27,91:91)-SUMIF(90:90,C27,91:91)+100</f>
        <v>100</v>
      </c>
      <c r="G27" s="461"/>
      <c r="H27" s="460">
        <f>SUMIF(90:90,G27,91:91)-SUMIF(90:90,C27,91:91)+100</f>
        <v>100</v>
      </c>
      <c r="I27" s="461"/>
      <c r="J27" s="460">
        <f>SUMIF(90:90,I27,91:91)-SUMIF(90:90,C27,91:91)+100</f>
        <v>100</v>
      </c>
      <c r="K27" s="2595"/>
      <c r="L27" s="1130"/>
      <c r="M27" s="1131"/>
      <c r="N27" s="1131"/>
      <c r="O27" s="1131"/>
      <c r="P27" s="3234"/>
      <c r="Q27" s="1792">
        <f t="shared" si="11"/>
        <v>111</v>
      </c>
      <c r="R27" s="767" t="s">
        <v>21</v>
      </c>
      <c r="S27" s="768">
        <f t="shared" si="12"/>
        <v>100</v>
      </c>
      <c r="T27" s="767" t="s">
        <v>21</v>
      </c>
      <c r="U27" s="768">
        <f t="shared" si="13"/>
        <v>100</v>
      </c>
      <c r="V27" s="767" t="s">
        <v>21</v>
      </c>
      <c r="W27" s="768">
        <f t="shared" si="14"/>
        <v>100</v>
      </c>
      <c r="X27" s="769"/>
      <c r="Y27" s="3216"/>
      <c r="Z27" s="54">
        <f>Q27</f>
        <v>111</v>
      </c>
      <c r="AA27" s="1808">
        <f t="shared" si="15"/>
        <v>1</v>
      </c>
      <c r="AB27" s="1808">
        <f t="shared" si="16"/>
        <v>1</v>
      </c>
      <c r="AC27" s="1808">
        <f t="shared" si="17"/>
        <v>1</v>
      </c>
    </row>
    <row r="28" spans="1:29" ht="15" hidden="1">
      <c r="A28" s="426"/>
      <c r="B28" s="1384">
        <v>111</v>
      </c>
      <c r="C28" s="432"/>
      <c r="D28" s="433">
        <v>100</v>
      </c>
      <c r="E28" s="432"/>
      <c r="F28" s="433">
        <f>SUMIF(92:92,E28,93:93)-SUMIF(92:92,C28,93:93)+100</f>
        <v>100</v>
      </c>
      <c r="G28" s="2609"/>
      <c r="H28" s="433">
        <f>SUMIF(92:92,G28,93:93)-SUMIF(92:92,C28,93:93)+100</f>
        <v>100</v>
      </c>
      <c r="I28" s="432"/>
      <c r="J28" s="433">
        <f>SUMIF(92:92,I28,93:93)-SUMIF(92:92,C28,93:93)+100</f>
        <v>100</v>
      </c>
      <c r="K28" s="2595"/>
      <c r="L28" s="1138"/>
      <c r="M28" s="1129"/>
      <c r="N28" s="1129"/>
      <c r="O28" s="1129"/>
      <c r="P28" s="3234"/>
      <c r="Q28" s="1807">
        <f t="shared" si="11"/>
        <v>111</v>
      </c>
      <c r="R28" s="771" t="s">
        <v>21</v>
      </c>
      <c r="S28" s="772">
        <f t="shared" si="12"/>
        <v>100</v>
      </c>
      <c r="T28" s="771" t="s">
        <v>21</v>
      </c>
      <c r="U28" s="772">
        <f t="shared" si="13"/>
        <v>100</v>
      </c>
      <c r="V28" s="771" t="s">
        <v>21</v>
      </c>
      <c r="W28" s="772">
        <f t="shared" si="14"/>
        <v>100</v>
      </c>
      <c r="X28" s="1810"/>
      <c r="Y28" s="3216"/>
      <c r="Z28" s="1811">
        <f t="shared" ref="Z28:Z46" si="18">Q28</f>
        <v>111</v>
      </c>
      <c r="AA28" s="1808">
        <f t="shared" si="15"/>
        <v>1</v>
      </c>
      <c r="AB28" s="1808">
        <f t="shared" si="16"/>
        <v>1</v>
      </c>
      <c r="AC28" s="1808">
        <f t="shared" si="17"/>
        <v>1</v>
      </c>
    </row>
    <row r="29" spans="1:29" ht="15" hidden="1">
      <c r="A29" s="426"/>
      <c r="B29" s="1384">
        <v>111</v>
      </c>
      <c r="C29" s="432"/>
      <c r="D29" s="433">
        <v>100</v>
      </c>
      <c r="E29" s="432"/>
      <c r="F29" s="433">
        <f>SUMIF(94:94,E29,95:95)-SUMIF(94:94,C29,95:95)+100</f>
        <v>100</v>
      </c>
      <c r="G29" s="2609"/>
      <c r="H29" s="433">
        <f>SUMIF(94:94,G29,95:95)-SUMIF(94:94,C29,95:95)+100</f>
        <v>100</v>
      </c>
      <c r="I29" s="432"/>
      <c r="J29" s="433">
        <f>SUMIF(94:94,I29,95:95)-SUMIF(94:94,C29,95:95)+100</f>
        <v>100</v>
      </c>
      <c r="K29" s="2595"/>
      <c r="L29" s="1138"/>
      <c r="M29" s="1129"/>
      <c r="N29" s="1129"/>
      <c r="O29" s="1129"/>
      <c r="P29" s="3234"/>
      <c r="Q29" s="1807">
        <f t="shared" si="11"/>
        <v>111</v>
      </c>
      <c r="R29" s="771" t="s">
        <v>21</v>
      </c>
      <c r="S29" s="772">
        <f t="shared" si="12"/>
        <v>100</v>
      </c>
      <c r="T29" s="771" t="s">
        <v>21</v>
      </c>
      <c r="U29" s="772">
        <f t="shared" si="13"/>
        <v>100</v>
      </c>
      <c r="V29" s="771" t="s">
        <v>21</v>
      </c>
      <c r="W29" s="772">
        <f t="shared" si="14"/>
        <v>100</v>
      </c>
      <c r="X29" s="1810"/>
      <c r="Y29" s="3216"/>
      <c r="Z29" s="1811">
        <f t="shared" si="18"/>
        <v>111</v>
      </c>
      <c r="AA29" s="1808">
        <f t="shared" si="15"/>
        <v>1</v>
      </c>
      <c r="AB29" s="1808">
        <f t="shared" si="16"/>
        <v>1</v>
      </c>
      <c r="AC29" s="1808">
        <f t="shared" si="17"/>
        <v>1</v>
      </c>
    </row>
    <row r="30" spans="1:29" ht="15" hidden="1">
      <c r="A30" s="426"/>
      <c r="B30" s="1384">
        <v>111</v>
      </c>
      <c r="C30" s="432"/>
      <c r="D30" s="433">
        <v>100</v>
      </c>
      <c r="E30" s="432"/>
      <c r="F30" s="433">
        <f>SUMIF(96:96,E30,97:97)-SUMIF(96:96,C30,97:97)+100</f>
        <v>100</v>
      </c>
      <c r="G30" s="2609"/>
      <c r="H30" s="433">
        <f>SUMIF(96:96,G30,97:97)-SUMIF(96:96,C30,97:97)+100</f>
        <v>100</v>
      </c>
      <c r="I30" s="432"/>
      <c r="J30" s="433">
        <f>SUMIF(96:96,I30,97:97)-SUMIF(96:96,C30,97:97)+100</f>
        <v>100</v>
      </c>
      <c r="K30" s="2595"/>
      <c r="L30" s="1138"/>
      <c r="M30" s="1129"/>
      <c r="N30" s="1129"/>
      <c r="O30" s="1129"/>
      <c r="P30" s="3234"/>
      <c r="Q30" s="1807">
        <f t="shared" si="11"/>
        <v>111</v>
      </c>
      <c r="R30" s="771" t="s">
        <v>21</v>
      </c>
      <c r="S30" s="772">
        <f t="shared" si="12"/>
        <v>100</v>
      </c>
      <c r="T30" s="771" t="s">
        <v>21</v>
      </c>
      <c r="U30" s="772">
        <f t="shared" si="13"/>
        <v>100</v>
      </c>
      <c r="V30" s="771" t="s">
        <v>21</v>
      </c>
      <c r="W30" s="772">
        <f t="shared" si="14"/>
        <v>100</v>
      </c>
      <c r="X30" s="1810"/>
      <c r="Y30" s="3216"/>
      <c r="Z30" s="1811">
        <f t="shared" si="18"/>
        <v>111</v>
      </c>
      <c r="AA30" s="1808">
        <f t="shared" si="15"/>
        <v>1</v>
      </c>
      <c r="AB30" s="1808">
        <f t="shared" si="16"/>
        <v>1</v>
      </c>
      <c r="AC30" s="1808">
        <f t="shared" si="17"/>
        <v>1</v>
      </c>
    </row>
    <row r="31" spans="1:29" ht="15.75" hidden="1" thickBot="1">
      <c r="A31" s="434"/>
      <c r="B31" s="1384">
        <v>111</v>
      </c>
      <c r="C31" s="435"/>
      <c r="D31" s="436">
        <v>100</v>
      </c>
      <c r="E31" s="435"/>
      <c r="F31" s="436">
        <f>SUMIF(98:98,E31,99:99)-SUMIF(98:98,C31,99:99)+100</f>
        <v>100</v>
      </c>
      <c r="G31" s="2610"/>
      <c r="H31" s="436">
        <f>SUMIF(98:98,G31,99:99)-SUMIF(98:98,C31,99:99)+100</f>
        <v>100</v>
      </c>
      <c r="I31" s="435"/>
      <c r="J31" s="436">
        <f>SUMIF(98:98,I31,99:99)-SUMIF(98:98,C31,99:99)+100</f>
        <v>100</v>
      </c>
      <c r="K31" s="2595"/>
      <c r="L31" s="1138"/>
      <c r="M31" s="1129"/>
      <c r="N31" s="1129"/>
      <c r="O31" s="1129"/>
      <c r="P31" s="3234"/>
      <c r="Q31" s="1807">
        <f t="shared" si="11"/>
        <v>111</v>
      </c>
      <c r="R31" s="771" t="s">
        <v>21</v>
      </c>
      <c r="S31" s="772">
        <f t="shared" si="12"/>
        <v>100</v>
      </c>
      <c r="T31" s="771" t="s">
        <v>21</v>
      </c>
      <c r="U31" s="772">
        <f t="shared" si="13"/>
        <v>100</v>
      </c>
      <c r="V31" s="771" t="s">
        <v>21</v>
      </c>
      <c r="W31" s="772">
        <f t="shared" si="14"/>
        <v>100</v>
      </c>
      <c r="X31" s="1810"/>
      <c r="Y31" s="3216"/>
      <c r="Z31" s="1811">
        <f t="shared" si="18"/>
        <v>111</v>
      </c>
      <c r="AA31" s="1808">
        <f t="shared" si="15"/>
        <v>1</v>
      </c>
      <c r="AB31" s="1808">
        <f t="shared" si="16"/>
        <v>1</v>
      </c>
      <c r="AC31" s="1808">
        <f t="shared" si="17"/>
        <v>1</v>
      </c>
    </row>
    <row r="32" spans="1:29" ht="15">
      <c r="A32" s="438" t="s">
        <v>2566</v>
      </c>
      <c r="B32" s="70" t="s">
        <v>2567</v>
      </c>
      <c r="C32" s="2611" t="s">
        <v>3141</v>
      </c>
      <c r="D32" s="465">
        <v>100</v>
      </c>
      <c r="E32" s="2611" t="s">
        <v>3141</v>
      </c>
      <c r="F32" s="459">
        <f>SUMIF(100:100,E32,101:101)-SUMIF(100:100,C32,101:101)+100</f>
        <v>100</v>
      </c>
      <c r="G32" s="2611" t="s">
        <v>3141</v>
      </c>
      <c r="H32" s="465">
        <f>SUMIF(100:100,G32,101:101)-SUMIF(100:100,C32,101:101)+100</f>
        <v>100</v>
      </c>
      <c r="I32" s="2611" t="s">
        <v>3141</v>
      </c>
      <c r="J32" s="433">
        <f>SUMIF(100:100,I32,101:101)-SUMIF(100:100,C32,101:101)+100</f>
        <v>100</v>
      </c>
      <c r="K32" s="424"/>
      <c r="L32" s="1138"/>
      <c r="M32" s="1129"/>
      <c r="N32" s="1129"/>
      <c r="O32" s="1129"/>
      <c r="P32" s="3235" t="s">
        <v>2568</v>
      </c>
      <c r="Q32" s="1807" t="str">
        <f t="shared" si="11"/>
        <v>建筑类型</v>
      </c>
      <c r="R32" s="771" t="s">
        <v>21</v>
      </c>
      <c r="S32" s="772">
        <f t="shared" si="12"/>
        <v>100</v>
      </c>
      <c r="T32" s="771" t="s">
        <v>21</v>
      </c>
      <c r="U32" s="772">
        <f t="shared" si="13"/>
        <v>100</v>
      </c>
      <c r="V32" s="771" t="s">
        <v>21</v>
      </c>
      <c r="W32" s="772">
        <f t="shared" si="14"/>
        <v>100</v>
      </c>
      <c r="X32" s="1810"/>
      <c r="Y32" s="3218" t="s">
        <v>2568</v>
      </c>
      <c r="Z32" s="1811" t="str">
        <f t="shared" si="18"/>
        <v>建筑类型</v>
      </c>
      <c r="AA32" s="1808">
        <f t="shared" si="15"/>
        <v>1</v>
      </c>
      <c r="AB32" s="1808">
        <f t="shared" si="16"/>
        <v>1</v>
      </c>
      <c r="AC32" s="1808">
        <f t="shared" si="17"/>
        <v>1</v>
      </c>
    </row>
    <row r="33" spans="1:29" s="469" customFormat="1" ht="15">
      <c r="A33" s="466"/>
      <c r="B33" s="420" t="s">
        <v>2569</v>
      </c>
      <c r="C33" s="467">
        <f>'数据-基础表'!B3</f>
        <v>131497.4</v>
      </c>
      <c r="D33" s="133">
        <v>100</v>
      </c>
      <c r="E33" s="428">
        <v>450000</v>
      </c>
      <c r="F33" s="423">
        <f>LOOKUP(E33,103:103,104:104)-LOOKUP(C33,103:103,104:104)+100</f>
        <v>102</v>
      </c>
      <c r="G33" s="427">
        <v>477270</v>
      </c>
      <c r="H33" s="133">
        <f>LOOKUP(G33,103:103,104:104)-LOOKUP(C33,103:103,104:104)+100</f>
        <v>102</v>
      </c>
      <c r="I33" s="428">
        <v>387000</v>
      </c>
      <c r="J33" s="133">
        <f>LOOKUP(I33,103:103,104:104)-LOOKUP(C33,103:103,104:104)+100</f>
        <v>101</v>
      </c>
      <c r="K33" s="2595"/>
      <c r="L33" s="1136"/>
      <c r="M33" s="1139"/>
      <c r="N33" s="1139"/>
      <c r="O33" s="1139"/>
      <c r="P33" s="3236"/>
      <c r="Q33" s="773" t="str">
        <f t="shared" si="11"/>
        <v>项目建筑规模</v>
      </c>
      <c r="R33" s="774" t="s">
        <v>21</v>
      </c>
      <c r="S33" s="775">
        <f t="shared" si="12"/>
        <v>102</v>
      </c>
      <c r="T33" s="774" t="s">
        <v>21</v>
      </c>
      <c r="U33" s="775">
        <f t="shared" si="13"/>
        <v>102</v>
      </c>
      <c r="V33" s="774" t="s">
        <v>21</v>
      </c>
      <c r="W33" s="775">
        <f t="shared" si="14"/>
        <v>101</v>
      </c>
      <c r="X33" s="776"/>
      <c r="Y33" s="3218"/>
      <c r="Z33" s="777" t="str">
        <f t="shared" si="18"/>
        <v>项目建筑规模</v>
      </c>
      <c r="AA33" s="1808">
        <f t="shared" si="15"/>
        <v>0.98039215686274506</v>
      </c>
      <c r="AB33" s="1808">
        <f t="shared" si="16"/>
        <v>0.98039215686274506</v>
      </c>
      <c r="AC33" s="1808">
        <f t="shared" si="17"/>
        <v>0.99009900990099009</v>
      </c>
    </row>
    <row r="34" spans="1:29" ht="15">
      <c r="A34" s="470"/>
      <c r="B34" s="420" t="s">
        <v>2570</v>
      </c>
      <c r="C34" s="2612" t="s">
        <v>3134</v>
      </c>
      <c r="D34" s="433">
        <v>100</v>
      </c>
      <c r="E34" s="2612" t="s">
        <v>3134</v>
      </c>
      <c r="F34" s="459">
        <f>SUMIF(105:105,E34,106:106)-SUMIF(105:105,C34,106:106)+100</f>
        <v>100</v>
      </c>
      <c r="G34" s="2612" t="s">
        <v>3134</v>
      </c>
      <c r="H34" s="433">
        <f>SUMIF(105:105,G34,106:106)-SUMIF(105:105,C34,106:106)+100</f>
        <v>100</v>
      </c>
      <c r="I34" s="2612" t="s">
        <v>3134</v>
      </c>
      <c r="J34" s="433">
        <f>SUMIF(105:105,I34,106:106)-SUMIF(105:105,C34,106:106)+100</f>
        <v>100</v>
      </c>
      <c r="K34" s="424"/>
      <c r="L34" s="1138"/>
      <c r="M34" s="1129"/>
      <c r="N34" s="1129"/>
      <c r="O34" s="1129"/>
      <c r="P34" s="3236"/>
      <c r="Q34" s="1807" t="str">
        <f t="shared" si="11"/>
        <v>建筑结构</v>
      </c>
      <c r="R34" s="771" t="s">
        <v>21</v>
      </c>
      <c r="S34" s="772">
        <f t="shared" si="12"/>
        <v>100</v>
      </c>
      <c r="T34" s="771" t="s">
        <v>21</v>
      </c>
      <c r="U34" s="772">
        <f t="shared" si="13"/>
        <v>100</v>
      </c>
      <c r="V34" s="771" t="s">
        <v>21</v>
      </c>
      <c r="W34" s="772">
        <f t="shared" si="14"/>
        <v>100</v>
      </c>
      <c r="X34" s="1810"/>
      <c r="Y34" s="3218"/>
      <c r="Z34" s="1811" t="str">
        <f t="shared" si="18"/>
        <v>建筑结构</v>
      </c>
      <c r="AA34" s="1808">
        <f t="shared" si="15"/>
        <v>1</v>
      </c>
      <c r="AB34" s="1808">
        <f t="shared" si="16"/>
        <v>1</v>
      </c>
      <c r="AC34" s="1808">
        <f t="shared" si="17"/>
        <v>1</v>
      </c>
    </row>
    <row r="35" spans="1:29" ht="15">
      <c r="A35" s="470"/>
      <c r="B35" s="420" t="s">
        <v>2571</v>
      </c>
      <c r="C35" s="2607" t="s">
        <v>3144</v>
      </c>
      <c r="D35" s="433">
        <v>100</v>
      </c>
      <c r="E35" s="2607" t="s">
        <v>3144</v>
      </c>
      <c r="F35" s="459">
        <f>SUMIF(107:107,E35,108:108)-SUMIF(107:107,C35,108:108)+100</f>
        <v>100</v>
      </c>
      <c r="G35" s="2607" t="s">
        <v>3144</v>
      </c>
      <c r="H35" s="433">
        <f>SUMIF(107:107,G35,108:108)-SUMIF(107:107,C35,108:108)+100</f>
        <v>100</v>
      </c>
      <c r="I35" s="2607" t="s">
        <v>3144</v>
      </c>
      <c r="J35" s="433">
        <f>SUMIF(107:107,I35,108:108)-SUMIF(107:107,C35,108:108)+100</f>
        <v>100</v>
      </c>
      <c r="K35" s="424"/>
      <c r="L35" s="1138"/>
      <c r="M35" s="1129"/>
      <c r="N35" s="1129"/>
      <c r="O35" s="1129"/>
      <c r="P35" s="3236"/>
      <c r="Q35" s="1807" t="str">
        <f t="shared" si="11"/>
        <v>建筑品质</v>
      </c>
      <c r="R35" s="771" t="s">
        <v>21</v>
      </c>
      <c r="S35" s="772">
        <f t="shared" si="12"/>
        <v>100</v>
      </c>
      <c r="T35" s="771" t="s">
        <v>21</v>
      </c>
      <c r="U35" s="772">
        <f t="shared" si="13"/>
        <v>100</v>
      </c>
      <c r="V35" s="771" t="s">
        <v>21</v>
      </c>
      <c r="W35" s="772">
        <f t="shared" si="14"/>
        <v>100</v>
      </c>
      <c r="X35" s="1810"/>
      <c r="Y35" s="3218"/>
      <c r="Z35" s="1811" t="str">
        <f t="shared" si="18"/>
        <v>建筑品质</v>
      </c>
      <c r="AA35" s="1808">
        <f t="shared" si="15"/>
        <v>1</v>
      </c>
      <c r="AB35" s="1808">
        <f t="shared" si="16"/>
        <v>1</v>
      </c>
      <c r="AC35" s="1808">
        <f t="shared" si="17"/>
        <v>1</v>
      </c>
    </row>
    <row r="36" spans="1:29" ht="15">
      <c r="A36" s="470"/>
      <c r="B36" s="420" t="s">
        <v>2572</v>
      </c>
      <c r="C36" s="2607" t="s">
        <v>3146</v>
      </c>
      <c r="D36" s="433">
        <v>100</v>
      </c>
      <c r="E36" s="2607" t="s">
        <v>3146</v>
      </c>
      <c r="F36" s="459">
        <f>SUMIF(109:109,E36,110:110)-SUMIF(109:109,C36,110:110)+100</f>
        <v>100</v>
      </c>
      <c r="G36" s="2607" t="s">
        <v>3146</v>
      </c>
      <c r="H36" s="433">
        <f>SUMIF(109:109,G36,110:110)-SUMIF(109:109,C36,110:110)+100</f>
        <v>100</v>
      </c>
      <c r="I36" s="2607" t="s">
        <v>3146</v>
      </c>
      <c r="J36" s="433">
        <f>SUMIF(109:109,I36,110:110)-SUMIF(109:109,C36,110:110)+100</f>
        <v>100</v>
      </c>
      <c r="K36" s="424"/>
      <c r="L36" s="1138"/>
      <c r="M36" s="1129"/>
      <c r="N36" s="1129"/>
      <c r="O36" s="1129"/>
      <c r="P36" s="3236"/>
      <c r="Q36" s="1807" t="str">
        <f t="shared" si="11"/>
        <v>公共部分装修</v>
      </c>
      <c r="R36" s="771" t="s">
        <v>21</v>
      </c>
      <c r="S36" s="772">
        <f t="shared" si="12"/>
        <v>100</v>
      </c>
      <c r="T36" s="771" t="s">
        <v>21</v>
      </c>
      <c r="U36" s="772">
        <f t="shared" si="13"/>
        <v>100</v>
      </c>
      <c r="V36" s="771" t="s">
        <v>21</v>
      </c>
      <c r="W36" s="772">
        <f t="shared" si="14"/>
        <v>100</v>
      </c>
      <c r="X36" s="1810"/>
      <c r="Y36" s="3218"/>
      <c r="Z36" s="1811" t="str">
        <f t="shared" si="18"/>
        <v>公共部分装修</v>
      </c>
      <c r="AA36" s="1808">
        <f t="shared" si="15"/>
        <v>1</v>
      </c>
      <c r="AB36" s="1808">
        <f t="shared" si="16"/>
        <v>1</v>
      </c>
      <c r="AC36" s="1808">
        <f t="shared" si="17"/>
        <v>1</v>
      </c>
    </row>
    <row r="37" spans="1:29" s="115" customFormat="1" ht="15">
      <c r="A37" s="471"/>
      <c r="B37" s="420" t="s">
        <v>2573</v>
      </c>
      <c r="C37" s="472">
        <v>1</v>
      </c>
      <c r="D37" s="133">
        <v>100</v>
      </c>
      <c r="E37" s="472">
        <v>1</v>
      </c>
      <c r="F37" s="423">
        <f>LOOKUP(E37,112:112,113:113)-LOOKUP(C37,112:112,113:113)+100</f>
        <v>100</v>
      </c>
      <c r="G37" s="472">
        <v>1</v>
      </c>
      <c r="H37" s="133">
        <f>LOOKUP(G37,112:112,113:113)-LOOKUP(C37,112:112,113:113)+100</f>
        <v>100</v>
      </c>
      <c r="I37" s="472">
        <v>1</v>
      </c>
      <c r="J37" s="133">
        <f>LOOKUP(I37,112:112,113:113)-LOOKUP(C37,112:112,113:113)+100</f>
        <v>100</v>
      </c>
      <c r="K37" s="424"/>
      <c r="L37" s="1130"/>
      <c r="M37" s="1131"/>
      <c r="N37" s="1131"/>
      <c r="O37" s="1131"/>
      <c r="P37" s="3236"/>
      <c r="Q37" s="1792" t="str">
        <f t="shared" si="11"/>
        <v>成新度</v>
      </c>
      <c r="R37" s="767" t="s">
        <v>21</v>
      </c>
      <c r="S37" s="768">
        <f t="shared" si="12"/>
        <v>100</v>
      </c>
      <c r="T37" s="767" t="s">
        <v>21</v>
      </c>
      <c r="U37" s="768">
        <f t="shared" si="13"/>
        <v>100</v>
      </c>
      <c r="V37" s="767" t="s">
        <v>21</v>
      </c>
      <c r="W37" s="768">
        <f t="shared" si="14"/>
        <v>100</v>
      </c>
      <c r="X37" s="769"/>
      <c r="Y37" s="3218"/>
      <c r="Z37" s="54" t="str">
        <f t="shared" si="18"/>
        <v>成新度</v>
      </c>
      <c r="AA37" s="770">
        <f t="shared" si="15"/>
        <v>1</v>
      </c>
      <c r="AB37" s="770">
        <f t="shared" si="16"/>
        <v>1</v>
      </c>
      <c r="AC37" s="770">
        <f t="shared" si="17"/>
        <v>1</v>
      </c>
    </row>
    <row r="38" spans="1:29" ht="15">
      <c r="A38" s="470"/>
      <c r="B38" s="420" t="s">
        <v>2574</v>
      </c>
      <c r="C38" s="2607" t="s">
        <v>3148</v>
      </c>
      <c r="D38" s="433">
        <v>100</v>
      </c>
      <c r="E38" s="2607" t="s">
        <v>3148</v>
      </c>
      <c r="F38" s="459">
        <f>SUMIF(114:114,E38,115:115)-SUMIF(114:114,C38,115:115)+100</f>
        <v>100</v>
      </c>
      <c r="G38" s="2607" t="s">
        <v>3148</v>
      </c>
      <c r="H38" s="433">
        <f>SUMIF(114:114,G38,115:115)-SUMIF(114:114,C38,115:115)+100</f>
        <v>100</v>
      </c>
      <c r="I38" s="2607" t="s">
        <v>3148</v>
      </c>
      <c r="J38" s="433">
        <f>SUMIF(114:114,I38,115:115)-SUMIF(114:114,C38,115:115)+100</f>
        <v>100</v>
      </c>
      <c r="K38" s="424"/>
      <c r="L38" s="1138"/>
      <c r="M38" s="1129"/>
      <c r="N38" s="1129"/>
      <c r="O38" s="1129"/>
      <c r="P38" s="3236" t="s">
        <v>2568</v>
      </c>
      <c r="Q38" s="1807" t="str">
        <f t="shared" si="11"/>
        <v>物业管理</v>
      </c>
      <c r="R38" s="771" t="s">
        <v>21</v>
      </c>
      <c r="S38" s="772">
        <f t="shared" si="12"/>
        <v>100</v>
      </c>
      <c r="T38" s="771" t="s">
        <v>21</v>
      </c>
      <c r="U38" s="772">
        <f t="shared" si="13"/>
        <v>100</v>
      </c>
      <c r="V38" s="771" t="s">
        <v>21</v>
      </c>
      <c r="W38" s="772">
        <f t="shared" si="14"/>
        <v>100</v>
      </c>
      <c r="X38" s="1810"/>
      <c r="Y38" s="3218" t="s">
        <v>2568</v>
      </c>
      <c r="Z38" s="1811" t="str">
        <f t="shared" si="18"/>
        <v>物业管理</v>
      </c>
      <c r="AA38" s="1808">
        <f t="shared" si="15"/>
        <v>1</v>
      </c>
      <c r="AB38" s="1808">
        <f t="shared" si="16"/>
        <v>1</v>
      </c>
      <c r="AC38" s="1808">
        <f t="shared" si="17"/>
        <v>1</v>
      </c>
    </row>
    <row r="39" spans="1:29" ht="15">
      <c r="A39" s="470"/>
      <c r="B39" s="420" t="s">
        <v>2575</v>
      </c>
      <c r="C39" s="2607" t="s">
        <v>3112</v>
      </c>
      <c r="D39" s="433">
        <v>100</v>
      </c>
      <c r="E39" s="2607" t="s">
        <v>3112</v>
      </c>
      <c r="F39" s="459">
        <f>SUMIF(116:116,E39,117:117)-SUMIF(116:116,C39,117:117)+100</f>
        <v>100</v>
      </c>
      <c r="G39" s="2607" t="s">
        <v>3112</v>
      </c>
      <c r="H39" s="433">
        <f>SUMIF(116:116,G39,117:117)-SUMIF(116:116,C39,117:117)+100</f>
        <v>100</v>
      </c>
      <c r="I39" s="2607" t="s">
        <v>3112</v>
      </c>
      <c r="J39" s="433">
        <f>SUMIF(116:116,I39,117:117)-SUMIF(116:116,C39,117:117)+100</f>
        <v>100</v>
      </c>
      <c r="K39" s="424"/>
      <c r="L39" s="1138"/>
      <c r="M39" s="1129"/>
      <c r="N39" s="1129"/>
      <c r="O39" s="1129"/>
      <c r="P39" s="3236"/>
      <c r="Q39" s="1807" t="str">
        <f t="shared" si="11"/>
        <v>市政基础设施</v>
      </c>
      <c r="R39" s="771" t="s">
        <v>21</v>
      </c>
      <c r="S39" s="772">
        <f t="shared" si="12"/>
        <v>100</v>
      </c>
      <c r="T39" s="771" t="s">
        <v>21</v>
      </c>
      <c r="U39" s="772">
        <f t="shared" si="13"/>
        <v>100</v>
      </c>
      <c r="V39" s="771" t="s">
        <v>21</v>
      </c>
      <c r="W39" s="772">
        <f t="shared" si="14"/>
        <v>100</v>
      </c>
      <c r="X39" s="1810"/>
      <c r="Y39" s="3218"/>
      <c r="Z39" s="1811" t="str">
        <f t="shared" si="18"/>
        <v>市政基础设施</v>
      </c>
      <c r="AA39" s="1808">
        <f t="shared" si="15"/>
        <v>1</v>
      </c>
      <c r="AB39" s="1808">
        <f t="shared" si="16"/>
        <v>1</v>
      </c>
      <c r="AC39" s="1808">
        <f t="shared" si="17"/>
        <v>1</v>
      </c>
    </row>
    <row r="40" spans="1:29" ht="15">
      <c r="A40" s="470"/>
      <c r="B40" s="420" t="s">
        <v>2576</v>
      </c>
      <c r="C40" s="2607" t="s">
        <v>3150</v>
      </c>
      <c r="D40" s="433">
        <v>100</v>
      </c>
      <c r="E40" s="2607" t="s">
        <v>3150</v>
      </c>
      <c r="F40" s="459">
        <f>SUMIF(118:118,E40,119:119)-SUMIF(118:118,C40,119:119)+100</f>
        <v>100</v>
      </c>
      <c r="G40" s="2607" t="s">
        <v>3150</v>
      </c>
      <c r="H40" s="433">
        <f>SUMIF(118:118,G40,119:119)-SUMIF(118:118,C40,119:119)+100</f>
        <v>100</v>
      </c>
      <c r="I40" s="2607" t="s">
        <v>3150</v>
      </c>
      <c r="J40" s="433">
        <f>SUMIF(118:118,I40,119:119)-SUMIF(118:118,C40,119:119)+100</f>
        <v>100</v>
      </c>
      <c r="K40" s="424"/>
      <c r="L40" s="1138"/>
      <c r="M40" s="1129"/>
      <c r="N40" s="1129"/>
      <c r="O40" s="1129"/>
      <c r="P40" s="3236"/>
      <c r="Q40" s="1807" t="str">
        <f t="shared" si="11"/>
        <v>房型</v>
      </c>
      <c r="R40" s="771" t="s">
        <v>21</v>
      </c>
      <c r="S40" s="772">
        <f t="shared" si="12"/>
        <v>100</v>
      </c>
      <c r="T40" s="771" t="s">
        <v>21</v>
      </c>
      <c r="U40" s="772">
        <f t="shared" si="13"/>
        <v>100</v>
      </c>
      <c r="V40" s="771" t="s">
        <v>21</v>
      </c>
      <c r="W40" s="772">
        <f t="shared" si="14"/>
        <v>100</v>
      </c>
      <c r="X40" s="1810"/>
      <c r="Y40" s="3218"/>
      <c r="Z40" s="1811" t="str">
        <f t="shared" si="18"/>
        <v>房型</v>
      </c>
      <c r="AA40" s="1808">
        <f t="shared" si="15"/>
        <v>1</v>
      </c>
      <c r="AB40" s="1808">
        <f t="shared" si="16"/>
        <v>1</v>
      </c>
      <c r="AC40" s="1808">
        <f t="shared" si="17"/>
        <v>1</v>
      </c>
    </row>
    <row r="41" spans="1:29" s="469" customFormat="1" ht="28.5" hidden="1">
      <c r="A41" s="466"/>
      <c r="B41" s="420" t="s">
        <v>2577</v>
      </c>
      <c r="C41" s="467"/>
      <c r="D41" s="133">
        <v>100</v>
      </c>
      <c r="E41" s="467"/>
      <c r="F41" s="423">
        <f>SUMIF(120:120,E41,121:121)-SUMIF(120:120,C41,121:121)+100</f>
        <v>100</v>
      </c>
      <c r="G41" s="467"/>
      <c r="H41" s="133">
        <f>SUMIF(120:120,G41,121:121)-SUMIF(120:120,C41,121:121)+100</f>
        <v>100</v>
      </c>
      <c r="I41" s="467"/>
      <c r="J41" s="433">
        <f>SUMIF(120:120,I41,121:121)-SUMIF(120:120,C41,121:121)+100</f>
        <v>100</v>
      </c>
      <c r="K41" s="2595"/>
      <c r="L41" s="1136"/>
      <c r="M41" s="1139"/>
      <c r="N41" s="1139"/>
      <c r="O41" s="1139"/>
      <c r="P41" s="3236"/>
      <c r="Q41" s="773" t="str">
        <f t="shared" si="11"/>
        <v>单套/主力户型建筑面积</v>
      </c>
      <c r="R41" s="774" t="s">
        <v>21</v>
      </c>
      <c r="S41" s="775">
        <f t="shared" si="12"/>
        <v>100</v>
      </c>
      <c r="T41" s="774" t="s">
        <v>21</v>
      </c>
      <c r="U41" s="775">
        <f t="shared" si="13"/>
        <v>100</v>
      </c>
      <c r="V41" s="774" t="s">
        <v>21</v>
      </c>
      <c r="W41" s="775">
        <f t="shared" si="14"/>
        <v>100</v>
      </c>
      <c r="X41" s="776"/>
      <c r="Y41" s="3218"/>
      <c r="Z41" s="777" t="str">
        <f t="shared" si="18"/>
        <v>单套/主力户型建筑面积</v>
      </c>
      <c r="AA41" s="1808">
        <f t="shared" si="15"/>
        <v>1</v>
      </c>
      <c r="AB41" s="1808">
        <f t="shared" si="16"/>
        <v>1</v>
      </c>
      <c r="AC41" s="1808">
        <f t="shared" si="17"/>
        <v>1</v>
      </c>
    </row>
    <row r="42" spans="1:29" ht="15">
      <c r="A42" s="470"/>
      <c r="B42" s="420" t="s">
        <v>2578</v>
      </c>
      <c r="C42" s="2607" t="s">
        <v>3153</v>
      </c>
      <c r="D42" s="433">
        <v>100</v>
      </c>
      <c r="E42" s="2607" t="s">
        <v>3153</v>
      </c>
      <c r="F42" s="459">
        <f>SUMIF(122:122,E42,123:123)-SUMIF(122:122,C42,123:123)+100</f>
        <v>100</v>
      </c>
      <c r="G42" s="2607" t="s">
        <v>3153</v>
      </c>
      <c r="H42" s="433">
        <f>SUMIF(122:122,G42,123:123)-SUMIF(122:122,C42,123:123)+100</f>
        <v>100</v>
      </c>
      <c r="I42" s="2607" t="s">
        <v>3146</v>
      </c>
      <c r="J42" s="433">
        <f>SUMIF(122:122,I42,123:123)-SUMIF(122:122,C42,123:123)+100</f>
        <v>106</v>
      </c>
      <c r="K42" s="424">
        <v>2</v>
      </c>
      <c r="L42" s="1138"/>
      <c r="M42" s="1129"/>
      <c r="N42" s="1129"/>
      <c r="O42" s="1129"/>
      <c r="P42" s="3236"/>
      <c r="Q42" s="1807" t="str">
        <f t="shared" si="11"/>
        <v>内部装修</v>
      </c>
      <c r="R42" s="771" t="s">
        <v>21</v>
      </c>
      <c r="S42" s="772">
        <f t="shared" si="12"/>
        <v>100</v>
      </c>
      <c r="T42" s="771" t="s">
        <v>21</v>
      </c>
      <c r="U42" s="772">
        <f t="shared" si="13"/>
        <v>100</v>
      </c>
      <c r="V42" s="771" t="s">
        <v>21</v>
      </c>
      <c r="W42" s="772">
        <f t="shared" si="14"/>
        <v>106</v>
      </c>
      <c r="X42" s="1810"/>
      <c r="Y42" s="3218"/>
      <c r="Z42" s="1811" t="str">
        <f t="shared" si="18"/>
        <v>内部装修</v>
      </c>
      <c r="AA42" s="1808">
        <f t="shared" si="15"/>
        <v>1</v>
      </c>
      <c r="AB42" s="1808">
        <f t="shared" si="16"/>
        <v>1</v>
      </c>
      <c r="AC42" s="1808">
        <f t="shared" si="17"/>
        <v>0.94339622641509435</v>
      </c>
    </row>
    <row r="43" spans="1:29" ht="15.75" thickBot="1">
      <c r="A43" s="470"/>
      <c r="B43" s="420" t="s">
        <v>2579</v>
      </c>
      <c r="C43" s="2607" t="s">
        <v>3111</v>
      </c>
      <c r="D43" s="433">
        <v>100</v>
      </c>
      <c r="E43" s="2607" t="s">
        <v>3111</v>
      </c>
      <c r="F43" s="459">
        <f>SUMIF(124:124,E43,125:125)-SUMIF(124:124,C43,125:125)+100</f>
        <v>100</v>
      </c>
      <c r="G43" s="2607" t="s">
        <v>3111</v>
      </c>
      <c r="H43" s="433">
        <f>SUMIF(124:124,G43,125:125)-SUMIF(124:124,C43,125:125)+100</f>
        <v>100</v>
      </c>
      <c r="I43" s="2607" t="s">
        <v>3111</v>
      </c>
      <c r="J43" s="433">
        <f>SUMIF(124:124,I43,125:125)-SUMIF(124:124,C43,125:125)+100</f>
        <v>100</v>
      </c>
      <c r="K43" s="424"/>
      <c r="L43" s="1138"/>
      <c r="M43" s="1129"/>
      <c r="N43" s="1129"/>
      <c r="O43" s="1129"/>
      <c r="P43" s="3236"/>
      <c r="Q43" s="1807" t="str">
        <f t="shared" si="11"/>
        <v>内部装修维护情况</v>
      </c>
      <c r="R43" s="771" t="s">
        <v>21</v>
      </c>
      <c r="S43" s="772">
        <f t="shared" si="12"/>
        <v>100</v>
      </c>
      <c r="T43" s="771" t="s">
        <v>21</v>
      </c>
      <c r="U43" s="772">
        <f t="shared" si="13"/>
        <v>100</v>
      </c>
      <c r="V43" s="771" t="s">
        <v>21</v>
      </c>
      <c r="W43" s="772">
        <f t="shared" si="14"/>
        <v>100</v>
      </c>
      <c r="X43" s="1810"/>
      <c r="Y43" s="3218"/>
      <c r="Z43" s="1811" t="str">
        <f t="shared" si="18"/>
        <v>内部装修维护情况</v>
      </c>
      <c r="AA43" s="1808">
        <f t="shared" si="15"/>
        <v>1</v>
      </c>
      <c r="AB43" s="1808">
        <f t="shared" si="16"/>
        <v>1</v>
      </c>
      <c r="AC43" s="1808">
        <f t="shared" si="17"/>
        <v>1</v>
      </c>
    </row>
    <row r="44" spans="1:29" s="115" customFormat="1" ht="15" hidden="1">
      <c r="A44" s="471"/>
      <c r="B44" s="1384">
        <v>111</v>
      </c>
      <c r="C44" s="467"/>
      <c r="D44" s="133">
        <v>100</v>
      </c>
      <c r="E44" s="467"/>
      <c r="F44" s="423">
        <f>SUMIF(126:126,E44,127:127)-SUMIF(126:126,C44,127:127)+100</f>
        <v>100</v>
      </c>
      <c r="G44" s="467"/>
      <c r="H44" s="133">
        <f>SUMIF(126:126,G44,127:127)-SUMIF(126:126,C44,127:127)+100</f>
        <v>100</v>
      </c>
      <c r="I44" s="467"/>
      <c r="J44" s="133">
        <f>SUMIF(126:126,I44,127:127)-SUMIF(126:126,C44,127:127)+100</f>
        <v>100</v>
      </c>
      <c r="K44" s="2595"/>
      <c r="L44" s="1130"/>
      <c r="M44" s="1131"/>
      <c r="N44" s="1131"/>
      <c r="O44" s="1131"/>
      <c r="P44" s="3236"/>
      <c r="Q44" s="1792">
        <f t="shared" si="11"/>
        <v>111</v>
      </c>
      <c r="R44" s="767" t="s">
        <v>21</v>
      </c>
      <c r="S44" s="768">
        <f t="shared" si="12"/>
        <v>100</v>
      </c>
      <c r="T44" s="767" t="s">
        <v>21</v>
      </c>
      <c r="U44" s="768">
        <f t="shared" si="13"/>
        <v>100</v>
      </c>
      <c r="V44" s="767" t="s">
        <v>21</v>
      </c>
      <c r="W44" s="768">
        <f t="shared" si="14"/>
        <v>100</v>
      </c>
      <c r="X44" s="769"/>
      <c r="Y44" s="3218"/>
      <c r="Z44" s="54">
        <f t="shared" si="18"/>
        <v>111</v>
      </c>
      <c r="AA44" s="770">
        <f t="shared" si="15"/>
        <v>1</v>
      </c>
      <c r="AB44" s="770">
        <f t="shared" si="16"/>
        <v>1</v>
      </c>
      <c r="AC44" s="770">
        <f t="shared" si="17"/>
        <v>1</v>
      </c>
    </row>
    <row r="45" spans="1:29" ht="15" hidden="1">
      <c r="A45" s="470"/>
      <c r="B45" s="1384">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5"/>
      <c r="L45" s="1138"/>
      <c r="M45" s="1129"/>
      <c r="N45" s="1129"/>
      <c r="O45" s="1129"/>
      <c r="P45" s="3236"/>
      <c r="Q45" s="1807">
        <f t="shared" si="11"/>
        <v>111</v>
      </c>
      <c r="R45" s="771" t="s">
        <v>21</v>
      </c>
      <c r="S45" s="772">
        <f t="shared" si="12"/>
        <v>100</v>
      </c>
      <c r="T45" s="771" t="s">
        <v>21</v>
      </c>
      <c r="U45" s="772">
        <f t="shared" si="13"/>
        <v>100</v>
      </c>
      <c r="V45" s="771" t="s">
        <v>21</v>
      </c>
      <c r="W45" s="772">
        <f t="shared" si="14"/>
        <v>100</v>
      </c>
      <c r="X45" s="1810"/>
      <c r="Y45" s="3218"/>
      <c r="Z45" s="1811">
        <f t="shared" si="18"/>
        <v>111</v>
      </c>
      <c r="AA45" s="1808">
        <f t="shared" si="15"/>
        <v>1</v>
      </c>
      <c r="AB45" s="1808">
        <f t="shared" si="16"/>
        <v>1</v>
      </c>
      <c r="AC45" s="1808">
        <f t="shared" si="17"/>
        <v>1</v>
      </c>
    </row>
    <row r="46" spans="1:29" ht="15.75" hidden="1" thickBot="1">
      <c r="A46" s="476"/>
      <c r="B46" s="2596">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5"/>
      <c r="L46" s="1138"/>
      <c r="M46" s="1129"/>
      <c r="N46" s="1129"/>
      <c r="O46" s="1129"/>
      <c r="P46" s="3237"/>
      <c r="Q46" s="1807">
        <f t="shared" si="11"/>
        <v>111</v>
      </c>
      <c r="R46" s="771" t="s">
        <v>20</v>
      </c>
      <c r="S46" s="772">
        <f t="shared" si="12"/>
        <v>100</v>
      </c>
      <c r="T46" s="771" t="s">
        <v>20</v>
      </c>
      <c r="U46" s="772">
        <f t="shared" si="13"/>
        <v>100</v>
      </c>
      <c r="V46" s="771" t="s">
        <v>20</v>
      </c>
      <c r="W46" s="772">
        <f t="shared" si="14"/>
        <v>100</v>
      </c>
      <c r="X46" s="1810"/>
      <c r="Y46" s="3238"/>
      <c r="Z46" s="1811">
        <f t="shared" si="18"/>
        <v>111</v>
      </c>
      <c r="AA46" s="1808">
        <f t="shared" si="15"/>
        <v>1</v>
      </c>
      <c r="AB46" s="1808">
        <f t="shared" si="16"/>
        <v>1</v>
      </c>
      <c r="AC46" s="1808">
        <f t="shared" si="17"/>
        <v>1</v>
      </c>
    </row>
    <row r="47" spans="1:29" ht="15">
      <c r="A47" s="477" t="s">
        <v>2580</v>
      </c>
      <c r="B47" s="478"/>
      <c r="C47" s="1404" t="s">
        <v>19</v>
      </c>
      <c r="D47" s="1405"/>
      <c r="E47" s="1406">
        <v>23000</v>
      </c>
      <c r="F47" s="1407"/>
      <c r="G47" s="1408">
        <v>24000</v>
      </c>
      <c r="H47" s="1409"/>
      <c r="I47" s="1406">
        <v>26800</v>
      </c>
      <c r="J47" s="1409"/>
      <c r="K47" s="2613"/>
      <c r="L47" s="1141"/>
      <c r="M47" s="1142"/>
      <c r="N47" s="1129"/>
      <c r="O47" s="1142"/>
      <c r="P47" s="3200" t="str">
        <f>A47</f>
        <v>成交单价（元/平方米）</v>
      </c>
      <c r="Q47" s="3200"/>
      <c r="R47" s="3231">
        <f>E47</f>
        <v>23000</v>
      </c>
      <c r="S47" s="3231"/>
      <c r="T47" s="3231">
        <f>G47</f>
        <v>24000</v>
      </c>
      <c r="U47" s="3231"/>
      <c r="V47" s="3231">
        <f>I47</f>
        <v>26800</v>
      </c>
      <c r="W47" s="3231"/>
      <c r="X47" s="756"/>
      <c r="Y47" s="778"/>
      <c r="Z47" s="756"/>
      <c r="AA47" s="756"/>
      <c r="AB47" s="756"/>
      <c r="AC47" s="756"/>
    </row>
    <row r="48" spans="1:29" ht="15.75" thickBot="1">
      <c r="A48" s="484" t="s">
        <v>2581</v>
      </c>
      <c r="B48" s="485"/>
      <c r="C48" s="1410">
        <f>R49</f>
        <v>23620</v>
      </c>
      <c r="D48" s="1411"/>
      <c r="E48" s="1412">
        <f>R48</f>
        <v>23009</v>
      </c>
      <c r="F48" s="1412"/>
      <c r="G48" s="1410">
        <f>T48</f>
        <v>23310</v>
      </c>
      <c r="H48" s="1411"/>
      <c r="I48" s="1412">
        <f>V48</f>
        <v>24542</v>
      </c>
      <c r="J48" s="1411"/>
      <c r="K48" s="2614"/>
      <c r="L48" s="1141"/>
      <c r="M48" s="1142"/>
      <c r="N48" s="1142"/>
      <c r="O48" s="1142"/>
      <c r="P48" s="3200" t="str">
        <f>A48</f>
        <v>比较价值（元/平方米）</v>
      </c>
      <c r="Q48" s="3200"/>
      <c r="R48" s="3231">
        <f>IF(F1="售价",ROUND(PRODUCT(R47,AA7:AA46),0),ROUND(PRODUCT(R47,AA7:AA46),1))</f>
        <v>23009</v>
      </c>
      <c r="S48" s="3231"/>
      <c r="T48" s="3231">
        <f>IF(F1="售价",ROUND(PRODUCT(T47,AB7:AB46),0),ROUND(PRODUCT(T47,AB7:AB46),1))</f>
        <v>23310</v>
      </c>
      <c r="U48" s="3231"/>
      <c r="V48" s="3231">
        <f>IF(F1="售价",ROUND(PRODUCT(V47,AC7:AC46),0),ROUND(PRODUCT(V47,AC7:AC46),1))</f>
        <v>24542</v>
      </c>
      <c r="W48" s="3231"/>
      <c r="X48" s="756"/>
      <c r="Y48" s="756"/>
      <c r="Z48" s="756"/>
      <c r="AA48" s="756"/>
      <c r="AB48" s="756"/>
      <c r="AC48" s="756"/>
    </row>
    <row r="49" spans="1:29" ht="15.75" thickBot="1">
      <c r="A49" s="490" t="s">
        <v>2582</v>
      </c>
      <c r="B49" s="491"/>
      <c r="C49" s="1413">
        <f>R49</f>
        <v>23620</v>
      </c>
      <c r="D49" s="1414"/>
      <c r="E49" s="1414"/>
      <c r="F49" s="1414"/>
      <c r="G49" s="1414"/>
      <c r="H49" s="1414"/>
      <c r="I49" s="1414"/>
      <c r="J49" s="1414"/>
      <c r="K49" s="2615"/>
      <c r="L49" s="1141"/>
      <c r="M49" s="1142"/>
      <c r="N49" s="1142"/>
      <c r="O49" s="1142"/>
      <c r="P49" s="3220" t="str">
        <f>A49</f>
        <v>估价对象XX用房的比较价值（楼面单价，元/平方米）</v>
      </c>
      <c r="Q49" s="3221"/>
      <c r="R49" s="3232">
        <f>IF(F1="售价",ROUND(AVERAGE(R48:V48),0),ROUND(AVERAGE(R48:V48),1))</f>
        <v>23620</v>
      </c>
      <c r="S49" s="3232"/>
      <c r="T49" s="3232"/>
      <c r="U49" s="3232"/>
      <c r="V49" s="3232"/>
      <c r="W49" s="3232"/>
      <c r="X49" s="756"/>
      <c r="Y49" s="756"/>
      <c r="Z49" s="756"/>
      <c r="AA49" s="756"/>
      <c r="AB49" s="756"/>
      <c r="AC49" s="756"/>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5" t="s">
        <v>2583</v>
      </c>
      <c r="D52" s="496"/>
      <c r="E52" s="497">
        <f>IF(E47&lt;E48,E48/E47-1,E47/E48-1)</f>
        <v>3.9130434782608248E-4</v>
      </c>
      <c r="F52" s="498" t="str">
        <f>IF(OR(E52&gt;=0.3,E52&lt;=-0.3),"超过30%","")</f>
        <v/>
      </c>
      <c r="G52" s="497">
        <f>IF(G47&lt;G48,G48/G47-1,G47/G48-1)</f>
        <v>2.9601029601029616E-2</v>
      </c>
      <c r="H52" s="498" t="str">
        <f>IF(OR(G52&gt;=0.3,G52&lt;=-0.3),"超过30%","")</f>
        <v/>
      </c>
      <c r="I52" s="497">
        <f>IF(I47&lt;I48,I48/I47-1,I47/I48-1)</f>
        <v>9.2005541520658429E-2</v>
      </c>
      <c r="J52" s="498" t="str">
        <f>IF(OR(I52&gt;=0.3,I52&lt;=-0.3),"超过30%","")</f>
        <v/>
      </c>
      <c r="K52" s="1103"/>
      <c r="L52" s="1104"/>
      <c r="M52" s="1142"/>
      <c r="N52" s="1142"/>
      <c r="O52" s="1142"/>
    </row>
    <row r="53" spans="1:29" ht="13.5" customHeight="1">
      <c r="A53" s="1142"/>
      <c r="B53" s="1142"/>
      <c r="C53" s="495" t="s">
        <v>2584</v>
      </c>
      <c r="D53" s="499"/>
      <c r="E53" s="497">
        <f>IF(E48&lt;G48,G48/E48-1,E48/G48-1)</f>
        <v>1.3081837541831565E-2</v>
      </c>
      <c r="F53" s="498" t="str">
        <f>IF(OR(E53&gt;=0.2,E53&lt;=-0.2),"超过20%","")</f>
        <v/>
      </c>
      <c r="G53" s="497">
        <f>IF(G48&lt;I48,I48/G48-1,G48/I48-1)</f>
        <v>5.2852852852852905E-2</v>
      </c>
      <c r="H53" s="498" t="str">
        <f>IF(OR(G53&gt;=0.2,G53&lt;=-0.2),"超过20%","")</f>
        <v/>
      </c>
      <c r="I53" s="497">
        <f>IF(I48&lt;E48,E48/I48-1,I48/E48-1)</f>
        <v>6.6626102829327571E-2</v>
      </c>
      <c r="J53" s="498" t="str">
        <f>IF(OR(I53&gt;=0.2,I53&lt;=-0.2),"超过20%","")</f>
        <v/>
      </c>
      <c r="K53" s="1103"/>
      <c r="L53" s="1104"/>
      <c r="M53" s="1142"/>
      <c r="N53" s="1142"/>
      <c r="O53" s="1142"/>
    </row>
    <row r="54" spans="1:29" s="500" customFormat="1" ht="13.5" customHeight="1">
      <c r="A54" s="1143"/>
      <c r="B54" s="1143"/>
      <c r="C54" s="495" t="s">
        <v>2585</v>
      </c>
      <c r="D54" s="499"/>
      <c r="E54" s="497">
        <f>IF(E47&lt;G47,G47/E47-1,E47/G47-1)</f>
        <v>4.3478260869565188E-2</v>
      </c>
      <c r="F54" s="498" t="str">
        <f>IF(OR(E54&gt;=0.3,E54&lt;=-0.3),"超过30%","")</f>
        <v/>
      </c>
      <c r="G54" s="497">
        <f>IF(G47&lt;I47,I47/G47-1,G47/I47-1)</f>
        <v>0.1166666666666667</v>
      </c>
      <c r="H54" s="498" t="str">
        <f>IF(OR(G54&gt;=0.3,G54&lt;=-0.3),"超过30%","")</f>
        <v/>
      </c>
      <c r="I54" s="497">
        <f>IF(I47&lt;E47,E47/I47-1,I47/E47-1)</f>
        <v>0.16521739130434776</v>
      </c>
      <c r="J54" s="498" t="str">
        <f>IF(OR(I54&gt;=0.3,I54&lt;=-0.3),"超过30%","")</f>
        <v/>
      </c>
      <c r="K54" s="1146"/>
      <c r="L54" s="1147"/>
      <c r="M54" s="1143"/>
      <c r="N54" s="1143"/>
      <c r="O54" s="1143"/>
      <c r="P54" s="2617"/>
    </row>
    <row r="55" spans="1:29" s="500" customFormat="1">
      <c r="A55" s="1143"/>
      <c r="B55" s="1144"/>
      <c r="C55" s="1148"/>
      <c r="D55" s="1143"/>
      <c r="E55" s="1143"/>
      <c r="F55" s="1143"/>
      <c r="G55" s="1143"/>
      <c r="H55" s="1143"/>
      <c r="I55" s="1143"/>
      <c r="J55" s="1143"/>
      <c r="K55" s="1146"/>
      <c r="L55" s="1147"/>
      <c r="M55" s="1143"/>
      <c r="N55" s="1143"/>
      <c r="O55" s="1143"/>
      <c r="P55" s="2617"/>
    </row>
    <row r="56" spans="1:29">
      <c r="A56" s="1142"/>
      <c r="B56" s="1144"/>
      <c r="C56" s="1148"/>
      <c r="D56" s="1142"/>
      <c r="E56" s="1142"/>
      <c r="F56" s="1142"/>
      <c r="G56" s="1142"/>
      <c r="H56" s="1142"/>
      <c r="I56" s="1142"/>
      <c r="J56" s="1142"/>
      <c r="K56" s="1103"/>
      <c r="L56" s="1104"/>
      <c r="M56" s="1142"/>
      <c r="N56" s="1142"/>
      <c r="O56" s="1142"/>
    </row>
    <row r="57" spans="1:29" ht="21.75" thickBot="1">
      <c r="A57" s="760" t="s">
        <v>2586</v>
      </c>
      <c r="B57" s="756"/>
      <c r="C57" s="761"/>
      <c r="D57" s="761"/>
      <c r="E57" s="761"/>
      <c r="F57" s="762"/>
      <c r="G57" s="762"/>
      <c r="H57" s="761"/>
      <c r="I57" s="761"/>
      <c r="J57" s="761"/>
      <c r="K57" s="1158"/>
      <c r="L57" s="1159"/>
      <c r="M57" s="1157"/>
      <c r="N57" s="1157"/>
      <c r="O57" s="1157"/>
      <c r="P57" s="2618"/>
      <c r="Q57" s="502"/>
    </row>
    <row r="58" spans="1:29" s="506" customFormat="1" ht="15">
      <c r="A58" s="503" t="s">
        <v>2587</v>
      </c>
      <c r="B58" s="504"/>
      <c r="C58" s="1574" t="str">
        <f>YEAR(C7)&amp;"-"&amp;MONTH(C7)</f>
        <v>2017-11</v>
      </c>
      <c r="D58" s="1573">
        <f>EDATE(C58,-1)</f>
        <v>43009</v>
      </c>
      <c r="E58" s="1573">
        <f>EDATE(D58,-1)</f>
        <v>42979</v>
      </c>
      <c r="F58" s="1573">
        <f t="shared" ref="F58:O58" si="19">EDATE(E58,-1)</f>
        <v>42948</v>
      </c>
      <c r="G58" s="1573">
        <f t="shared" si="19"/>
        <v>42917</v>
      </c>
      <c r="H58" s="1573">
        <f t="shared" si="19"/>
        <v>42887</v>
      </c>
      <c r="I58" s="1573">
        <f t="shared" si="19"/>
        <v>42856</v>
      </c>
      <c r="J58" s="1573">
        <f t="shared" si="19"/>
        <v>42826</v>
      </c>
      <c r="K58" s="1573">
        <f t="shared" si="19"/>
        <v>42795</v>
      </c>
      <c r="L58" s="1573">
        <f t="shared" si="19"/>
        <v>42767</v>
      </c>
      <c r="M58" s="1573">
        <f t="shared" si="19"/>
        <v>42736</v>
      </c>
      <c r="N58" s="1573">
        <f t="shared" si="19"/>
        <v>42705</v>
      </c>
      <c r="O58" s="1573">
        <f t="shared" si="19"/>
        <v>42675</v>
      </c>
      <c r="P58" s="1568"/>
    </row>
    <row r="59" spans="1:29" s="115" customFormat="1" ht="15">
      <c r="A59" s="507"/>
      <c r="B59" s="2619"/>
      <c r="C59" s="1571">
        <v>100</v>
      </c>
      <c r="D59" s="509"/>
      <c r="E59" s="510"/>
      <c r="F59" s="510"/>
      <c r="G59" s="510"/>
      <c r="H59" s="510"/>
      <c r="I59" s="510"/>
      <c r="J59" s="510"/>
      <c r="K59" s="510"/>
      <c r="L59" s="510"/>
      <c r="M59" s="511"/>
      <c r="N59" s="510"/>
      <c r="O59" s="511"/>
      <c r="P59" s="2620"/>
    </row>
    <row r="60" spans="1:29" s="115" customFormat="1" ht="15.75" thickBot="1">
      <c r="A60" s="513" t="s">
        <v>2588</v>
      </c>
      <c r="B60" s="514"/>
      <c r="C60" s="515"/>
      <c r="D60" s="516"/>
      <c r="E60" s="516"/>
      <c r="F60" s="516"/>
      <c r="G60" s="516"/>
      <c r="H60" s="516"/>
      <c r="I60" s="516"/>
      <c r="J60" s="516"/>
      <c r="K60" s="516"/>
      <c r="L60" s="516"/>
      <c r="M60" s="517"/>
      <c r="N60" s="516"/>
      <c r="O60" s="517"/>
      <c r="P60" s="2620"/>
      <c r="Q60" s="502"/>
    </row>
    <row r="61" spans="1:29" s="115" customFormat="1" ht="15">
      <c r="A61" s="519" t="s">
        <v>2589</v>
      </c>
      <c r="B61" s="508"/>
      <c r="C61" s="520" t="s">
        <v>2590</v>
      </c>
      <c r="D61" s="521"/>
      <c r="E61" s="521"/>
      <c r="F61" s="521"/>
      <c r="G61" s="521"/>
      <c r="H61" s="521"/>
      <c r="I61" s="521"/>
      <c r="J61" s="521"/>
      <c r="K61" s="521"/>
      <c r="L61" s="522"/>
      <c r="M61" s="523"/>
      <c r="N61" s="1149"/>
      <c r="O61" s="1149"/>
      <c r="P61" s="2621"/>
      <c r="Q61" s="502"/>
    </row>
    <row r="62" spans="1:29" s="115" customFormat="1" ht="15.75" thickBot="1">
      <c r="A62" s="519"/>
      <c r="B62" s="508"/>
      <c r="C62" s="509">
        <v>100</v>
      </c>
      <c r="D62" s="510"/>
      <c r="E62" s="510"/>
      <c r="F62" s="510"/>
      <c r="G62" s="510"/>
      <c r="H62" s="510"/>
      <c r="I62" s="510"/>
      <c r="J62" s="510"/>
      <c r="K62" s="510"/>
      <c r="L62" s="510"/>
      <c r="M62" s="512"/>
      <c r="N62" s="1149"/>
      <c r="O62" s="1149"/>
      <c r="P62" s="2620"/>
      <c r="Q62" s="502"/>
    </row>
    <row r="63" spans="1:29">
      <c r="A63" s="525" t="s">
        <v>2591</v>
      </c>
      <c r="B63" s="526" t="s">
        <v>2557</v>
      </c>
      <c r="C63" s="527" t="str">
        <f>C9</f>
        <v>住宅</v>
      </c>
      <c r="D63" s="528"/>
      <c r="E63" s="528"/>
      <c r="F63" s="528"/>
      <c r="G63" s="528"/>
      <c r="H63" s="528"/>
      <c r="I63" s="528"/>
      <c r="J63" s="528"/>
      <c r="K63" s="529"/>
      <c r="L63" s="530"/>
      <c r="M63" s="531"/>
      <c r="N63" s="1150"/>
      <c r="O63" s="1150"/>
      <c r="P63" s="2622"/>
      <c r="Q63" s="502"/>
    </row>
    <row r="64" spans="1:29" ht="15.75" thickBot="1">
      <c r="A64" s="532"/>
      <c r="B64" s="533"/>
      <c r="C64" s="534">
        <v>100</v>
      </c>
      <c r="D64" s="534"/>
      <c r="E64" s="534"/>
      <c r="F64" s="534"/>
      <c r="G64" s="534"/>
      <c r="H64" s="534"/>
      <c r="I64" s="534"/>
      <c r="J64" s="534"/>
      <c r="K64" s="534"/>
      <c r="L64" s="534"/>
      <c r="M64" s="535"/>
      <c r="N64" s="1151"/>
      <c r="O64" s="1151"/>
      <c r="P64" s="2622"/>
      <c r="Q64" s="502"/>
    </row>
    <row r="65" spans="1:17" ht="27.75" thickTop="1">
      <c r="A65" s="532"/>
      <c r="B65" s="536" t="s">
        <v>2560</v>
      </c>
      <c r="C65" s="537" t="s">
        <v>2592</v>
      </c>
      <c r="D65" s="537" t="s">
        <v>2593</v>
      </c>
      <c r="E65" s="537" t="s">
        <v>2594</v>
      </c>
      <c r="F65" s="537" t="s">
        <v>2595</v>
      </c>
      <c r="G65" s="537" t="s">
        <v>2596</v>
      </c>
      <c r="H65" s="537" t="s">
        <v>2597</v>
      </c>
      <c r="I65" s="537" t="s">
        <v>2598</v>
      </c>
      <c r="J65" s="537"/>
      <c r="K65" s="538"/>
      <c r="L65" s="539"/>
      <c r="M65" s="540"/>
      <c r="N65" s="1150"/>
      <c r="O65" s="1150"/>
      <c r="P65" s="2622"/>
      <c r="Q65" s="502"/>
    </row>
    <row r="66" spans="1:17" ht="15.75" thickBot="1">
      <c r="A66" s="532"/>
      <c r="B66" s="541"/>
      <c r="C66" s="542">
        <v>100</v>
      </c>
      <c r="D66" s="542">
        <f t="shared" ref="D66:I66" si="20">C66-$K10</f>
        <v>98</v>
      </c>
      <c r="E66" s="542">
        <f t="shared" si="20"/>
        <v>96</v>
      </c>
      <c r="F66" s="542">
        <f t="shared" si="20"/>
        <v>94</v>
      </c>
      <c r="G66" s="542">
        <f t="shared" si="20"/>
        <v>92</v>
      </c>
      <c r="H66" s="542">
        <f t="shared" si="20"/>
        <v>90</v>
      </c>
      <c r="I66" s="542">
        <f t="shared" si="20"/>
        <v>88</v>
      </c>
      <c r="J66" s="542"/>
      <c r="K66" s="542"/>
      <c r="L66" s="542"/>
      <c r="M66" s="543"/>
      <c r="N66" s="1151"/>
      <c r="O66" s="1151"/>
      <c r="P66" s="2622"/>
      <c r="Q66" s="502"/>
    </row>
    <row r="67" spans="1:17" ht="15.75" thickTop="1">
      <c r="A67" s="532"/>
      <c r="B67" s="544" t="s">
        <v>2561</v>
      </c>
      <c r="C67" s="545" t="str">
        <f>C68&amp;"（含）"&amp;"-"&amp;D68</f>
        <v>1（含）-2</v>
      </c>
      <c r="D67" s="545" t="str">
        <f t="shared" ref="D67:L67" si="21">D68&amp;"（含）"&amp;"-"&amp;E68</f>
        <v>2（含）-3</v>
      </c>
      <c r="E67" s="545" t="str">
        <f t="shared" si="21"/>
        <v>3（含）-4</v>
      </c>
      <c r="F67" s="545" t="str">
        <f t="shared" si="21"/>
        <v>4（含）-5</v>
      </c>
      <c r="G67" s="545" t="str">
        <f t="shared" si="21"/>
        <v>5（含）-</v>
      </c>
      <c r="H67" s="545" t="str">
        <f t="shared" si="21"/>
        <v>（含）-</v>
      </c>
      <c r="I67" s="545" t="str">
        <f t="shared" si="21"/>
        <v>（含）-</v>
      </c>
      <c r="J67" s="545" t="str">
        <f t="shared" si="21"/>
        <v>（含）-</v>
      </c>
      <c r="K67" s="545" t="str">
        <f>K68&amp;"（含）"&amp;"-"&amp;L68</f>
        <v>（含）-</v>
      </c>
      <c r="L67" s="545" t="str">
        <f t="shared" si="21"/>
        <v>（含）-</v>
      </c>
      <c r="M67" s="446" t="str">
        <f>M68&amp;"（含）"&amp;"-"&amp;P68</f>
        <v>（含）-</v>
      </c>
      <c r="N67" s="1151"/>
      <c r="O67" s="1151"/>
      <c r="P67" s="2622"/>
      <c r="Q67" s="502"/>
    </row>
    <row r="68" spans="1:17" ht="15">
      <c r="A68" s="532"/>
      <c r="B68" s="546"/>
      <c r="C68" s="547">
        <v>1</v>
      </c>
      <c r="D68" s="547">
        <v>2</v>
      </c>
      <c r="E68" s="547">
        <v>3</v>
      </c>
      <c r="F68" s="547">
        <v>4</v>
      </c>
      <c r="G68" s="547">
        <v>5</v>
      </c>
      <c r="H68" s="547"/>
      <c r="I68" s="547"/>
      <c r="J68" s="547"/>
      <c r="K68" s="548"/>
      <c r="L68" s="549"/>
      <c r="M68" s="550"/>
      <c r="N68" s="1150"/>
      <c r="O68" s="1150"/>
      <c r="P68" s="2622"/>
      <c r="Q68" s="502"/>
    </row>
    <row r="69" spans="1:17" ht="15.75" thickBot="1">
      <c r="A69" s="532"/>
      <c r="B69" s="533"/>
      <c r="C69" s="542">
        <v>100</v>
      </c>
      <c r="D69" s="542">
        <f t="shared" ref="D69:M69" si="22">C69-$K11</f>
        <v>98</v>
      </c>
      <c r="E69" s="542">
        <f t="shared" si="22"/>
        <v>96</v>
      </c>
      <c r="F69" s="542">
        <f t="shared" si="22"/>
        <v>94</v>
      </c>
      <c r="G69" s="542">
        <f t="shared" si="22"/>
        <v>92</v>
      </c>
      <c r="H69" s="542">
        <f t="shared" si="22"/>
        <v>90</v>
      </c>
      <c r="I69" s="542">
        <f t="shared" si="22"/>
        <v>88</v>
      </c>
      <c r="J69" s="542">
        <f t="shared" si="22"/>
        <v>86</v>
      </c>
      <c r="K69" s="542">
        <f t="shared" si="22"/>
        <v>84</v>
      </c>
      <c r="L69" s="542">
        <f t="shared" si="22"/>
        <v>82</v>
      </c>
      <c r="M69" s="543">
        <f t="shared" si="22"/>
        <v>80</v>
      </c>
      <c r="N69" s="1151"/>
      <c r="O69" s="1151"/>
      <c r="P69" s="2622"/>
      <c r="Q69" s="502"/>
    </row>
    <row r="70" spans="1:17" s="469" customFormat="1" ht="15.75" thickTop="1">
      <c r="A70" s="551"/>
      <c r="B70" s="536">
        <f>B12</f>
        <v>111</v>
      </c>
      <c r="C70" s="552"/>
      <c r="D70" s="552"/>
      <c r="E70" s="552"/>
      <c r="F70" s="552"/>
      <c r="G70" s="552"/>
      <c r="H70" s="553"/>
      <c r="I70" s="553"/>
      <c r="J70" s="553"/>
      <c r="K70" s="553"/>
      <c r="L70" s="554"/>
      <c r="M70" s="555"/>
      <c r="N70" s="1152"/>
      <c r="O70" s="1152"/>
      <c r="P70" s="2623"/>
      <c r="Q70" s="557"/>
    </row>
    <row r="71" spans="1:17" s="469" customFormat="1" ht="15.75" thickBot="1">
      <c r="A71" s="551"/>
      <c r="B71" s="541"/>
      <c r="C71" s="558"/>
      <c r="D71" s="534"/>
      <c r="E71" s="534"/>
      <c r="F71" s="534"/>
      <c r="G71" s="534"/>
      <c r="H71" s="534"/>
      <c r="I71" s="534"/>
      <c r="J71" s="534"/>
      <c r="K71" s="534"/>
      <c r="L71" s="534"/>
      <c r="M71" s="535"/>
      <c r="N71" s="1151"/>
      <c r="O71" s="1151"/>
      <c r="P71" s="2623"/>
      <c r="Q71" s="557"/>
    </row>
    <row r="72" spans="1:17" s="469" customFormat="1" ht="15.75" thickTop="1">
      <c r="A72" s="551"/>
      <c r="B72" s="536">
        <f>B13</f>
        <v>111</v>
      </c>
      <c r="C72" s="552"/>
      <c r="D72" s="552"/>
      <c r="E72" s="552"/>
      <c r="F72" s="552"/>
      <c r="G72" s="552"/>
      <c r="H72" s="553"/>
      <c r="I72" s="553"/>
      <c r="J72" s="553"/>
      <c r="K72" s="553"/>
      <c r="L72" s="554"/>
      <c r="M72" s="555"/>
      <c r="N72" s="1152"/>
      <c r="O72" s="1152"/>
      <c r="P72" s="2624"/>
      <c r="Q72" s="559"/>
    </row>
    <row r="73" spans="1:17" s="469" customFormat="1" ht="15.75" thickBot="1">
      <c r="A73" s="551"/>
      <c r="B73" s="541"/>
      <c r="C73" s="558"/>
      <c r="D73" s="558"/>
      <c r="E73" s="558"/>
      <c r="F73" s="558"/>
      <c r="G73" s="558"/>
      <c r="H73" s="560"/>
      <c r="I73" s="560"/>
      <c r="J73" s="560"/>
      <c r="K73" s="560"/>
      <c r="L73" s="560"/>
      <c r="M73" s="561"/>
      <c r="N73" s="1152"/>
      <c r="O73" s="1152"/>
      <c r="P73" s="2623"/>
      <c r="Q73" s="557"/>
    </row>
    <row r="74" spans="1:17" s="469" customFormat="1" ht="15.75" thickTop="1">
      <c r="A74" s="551"/>
      <c r="B74" s="544">
        <f>B14</f>
        <v>111</v>
      </c>
      <c r="C74" s="552"/>
      <c r="D74" s="552"/>
      <c r="E74" s="552"/>
      <c r="F74" s="552"/>
      <c r="G74" s="521"/>
      <c r="H74" s="562"/>
      <c r="I74" s="562"/>
      <c r="J74" s="562"/>
      <c r="K74" s="562"/>
      <c r="L74" s="563"/>
      <c r="M74" s="564"/>
      <c r="N74" s="1152"/>
      <c r="O74" s="1152"/>
      <c r="P74" s="2625"/>
      <c r="Q74" s="557"/>
    </row>
    <row r="75" spans="1:17" s="469" customFormat="1" ht="15.75" thickBot="1">
      <c r="A75" s="566"/>
      <c r="B75" s="567"/>
      <c r="C75" s="568"/>
      <c r="D75" s="568"/>
      <c r="E75" s="568"/>
      <c r="F75" s="568"/>
      <c r="G75" s="568"/>
      <c r="H75" s="569"/>
      <c r="I75" s="569"/>
      <c r="J75" s="569"/>
      <c r="K75" s="569"/>
      <c r="L75" s="569"/>
      <c r="M75" s="570"/>
      <c r="N75" s="1152"/>
      <c r="O75" s="1152"/>
      <c r="P75" s="2623"/>
      <c r="Q75" s="557"/>
    </row>
    <row r="76" spans="1:17">
      <c r="A76" s="525" t="s">
        <v>2562</v>
      </c>
      <c r="B76" s="526" t="s">
        <v>2599</v>
      </c>
      <c r="C76" s="571" t="s">
        <v>2600</v>
      </c>
      <c r="D76" s="571" t="s">
        <v>2601</v>
      </c>
      <c r="E76" s="571" t="s">
        <v>2602</v>
      </c>
      <c r="F76" s="571" t="s">
        <v>2603</v>
      </c>
      <c r="G76" s="571" t="s">
        <v>2604</v>
      </c>
      <c r="H76" s="527"/>
      <c r="I76" s="527"/>
      <c r="J76" s="527"/>
      <c r="K76" s="572"/>
      <c r="L76" s="573"/>
      <c r="M76" s="574"/>
      <c r="N76" s="1150"/>
      <c r="O76" s="1150"/>
      <c r="P76" s="2626"/>
      <c r="Q76" s="502"/>
    </row>
    <row r="77" spans="1:17" ht="15.75" thickBot="1">
      <c r="A77" s="532"/>
      <c r="B77" s="541"/>
      <c r="C77" s="542">
        <v>100</v>
      </c>
      <c r="D77" s="542">
        <f>C77-$K15</f>
        <v>97</v>
      </c>
      <c r="E77" s="542">
        <f>D77-$K15</f>
        <v>94</v>
      </c>
      <c r="F77" s="542">
        <f>E77-$K15</f>
        <v>91</v>
      </c>
      <c r="G77" s="542">
        <f>F77-$K15</f>
        <v>88</v>
      </c>
      <c r="H77" s="542"/>
      <c r="I77" s="542"/>
      <c r="J77" s="542"/>
      <c r="K77" s="542"/>
      <c r="L77" s="542"/>
      <c r="M77" s="543"/>
      <c r="N77" s="1151"/>
      <c r="O77" s="1151"/>
      <c r="P77" s="2622"/>
      <c r="Q77" s="502"/>
    </row>
    <row r="78" spans="1:17" ht="15.75" thickTop="1">
      <c r="A78" s="532"/>
      <c r="B78" s="536" t="s">
        <v>2605</v>
      </c>
      <c r="C78" s="576" t="s">
        <v>2600</v>
      </c>
      <c r="D78" s="576" t="s">
        <v>2601</v>
      </c>
      <c r="E78" s="576" t="s">
        <v>2602</v>
      </c>
      <c r="F78" s="576" t="s">
        <v>2603</v>
      </c>
      <c r="G78" s="576" t="s">
        <v>2604</v>
      </c>
      <c r="H78" s="537"/>
      <c r="I78" s="537"/>
      <c r="J78" s="537"/>
      <c r="K78" s="538"/>
      <c r="L78" s="539"/>
      <c r="M78" s="540"/>
      <c r="N78" s="1150"/>
      <c r="O78" s="1150"/>
      <c r="P78" s="2622"/>
      <c r="Q78" s="502"/>
    </row>
    <row r="79" spans="1:17" ht="15.75" thickBot="1">
      <c r="A79" s="532"/>
      <c r="B79" s="541"/>
      <c r="C79" s="542">
        <v>100</v>
      </c>
      <c r="D79" s="542">
        <f>C79-$K17</f>
        <v>97</v>
      </c>
      <c r="E79" s="542">
        <f>D79-$K17</f>
        <v>94</v>
      </c>
      <c r="F79" s="542">
        <f>E79-$K17</f>
        <v>91</v>
      </c>
      <c r="G79" s="542">
        <f>F79-$K17</f>
        <v>88</v>
      </c>
      <c r="H79" s="542"/>
      <c r="I79" s="542"/>
      <c r="J79" s="542"/>
      <c r="K79" s="542"/>
      <c r="L79" s="542"/>
      <c r="M79" s="543"/>
      <c r="N79" s="1151"/>
      <c r="O79" s="1151"/>
      <c r="P79" s="2622"/>
      <c r="Q79" s="502"/>
    </row>
    <row r="80" spans="1:17" ht="15.75" thickTop="1">
      <c r="A80" s="532"/>
      <c r="B80" s="536" t="s">
        <v>2606</v>
      </c>
      <c r="C80" s="576" t="s">
        <v>2600</v>
      </c>
      <c r="D80" s="576" t="s">
        <v>2601</v>
      </c>
      <c r="E80" s="576" t="s">
        <v>2602</v>
      </c>
      <c r="F80" s="576" t="s">
        <v>2603</v>
      </c>
      <c r="G80" s="576" t="s">
        <v>2604</v>
      </c>
      <c r="H80" s="537"/>
      <c r="I80" s="537"/>
      <c r="J80" s="537"/>
      <c r="K80" s="538"/>
      <c r="L80" s="539"/>
      <c r="M80" s="540"/>
      <c r="N80" s="1150"/>
      <c r="O80" s="1150"/>
      <c r="P80" s="2622"/>
      <c r="Q80" s="502"/>
    </row>
    <row r="81" spans="1:17" ht="15.75" thickBot="1">
      <c r="A81" s="532"/>
      <c r="B81" s="541"/>
      <c r="C81" s="542">
        <v>100</v>
      </c>
      <c r="D81" s="542">
        <f>C81-$K19</f>
        <v>97</v>
      </c>
      <c r="E81" s="542">
        <f>D81-$K19</f>
        <v>94</v>
      </c>
      <c r="F81" s="542">
        <f>E81-$K19</f>
        <v>91</v>
      </c>
      <c r="G81" s="542">
        <f>F81-$K19</f>
        <v>88</v>
      </c>
      <c r="H81" s="542"/>
      <c r="I81" s="542"/>
      <c r="J81" s="542"/>
      <c r="K81" s="542"/>
      <c r="L81" s="542"/>
      <c r="M81" s="543"/>
      <c r="N81" s="1151"/>
      <c r="O81" s="1151"/>
      <c r="P81" s="2622"/>
      <c r="Q81" s="502"/>
    </row>
    <row r="82" spans="1:17" ht="15.75" thickTop="1">
      <c r="A82" s="532"/>
      <c r="B82" s="544" t="s">
        <v>2104</v>
      </c>
      <c r="C82" s="537" t="s">
        <v>2607</v>
      </c>
      <c r="D82" s="537" t="s">
        <v>2608</v>
      </c>
      <c r="E82" s="537" t="s">
        <v>2609</v>
      </c>
      <c r="F82" s="537" t="s">
        <v>2610</v>
      </c>
      <c r="G82" s="537" t="s">
        <v>2611</v>
      </c>
      <c r="H82" s="537"/>
      <c r="I82" s="537"/>
      <c r="J82" s="537"/>
      <c r="K82" s="537"/>
      <c r="L82" s="537"/>
      <c r="M82" s="1380"/>
      <c r="N82" s="1151"/>
      <c r="O82" s="1151"/>
      <c r="P82" s="2622"/>
      <c r="Q82" s="502"/>
    </row>
    <row r="83" spans="1:17" ht="15.75" thickBot="1">
      <c r="A83" s="532"/>
      <c r="B83" s="544"/>
      <c r="C83" s="658">
        <v>100</v>
      </c>
      <c r="D83" s="658">
        <f>C83-$K21</f>
        <v>98</v>
      </c>
      <c r="E83" s="658">
        <f t="shared" ref="E83:G83" si="23">D83-$K21</f>
        <v>96</v>
      </c>
      <c r="F83" s="658">
        <f t="shared" si="23"/>
        <v>94</v>
      </c>
      <c r="G83" s="658">
        <f t="shared" si="23"/>
        <v>92</v>
      </c>
      <c r="H83" s="658"/>
      <c r="I83" s="658"/>
      <c r="J83" s="658"/>
      <c r="K83" s="658"/>
      <c r="L83" s="658"/>
      <c r="M83" s="448"/>
      <c r="N83" s="1151"/>
      <c r="O83" s="1151"/>
      <c r="P83" s="2622"/>
      <c r="Q83" s="502"/>
    </row>
    <row r="84" spans="1:17" ht="15.75" thickTop="1">
      <c r="A84" s="532"/>
      <c r="B84" s="536" t="s">
        <v>2612</v>
      </c>
      <c r="C84" s="576" t="s">
        <v>2600</v>
      </c>
      <c r="D84" s="576" t="s">
        <v>2601</v>
      </c>
      <c r="E84" s="576" t="s">
        <v>2602</v>
      </c>
      <c r="F84" s="576" t="s">
        <v>2603</v>
      </c>
      <c r="G84" s="576" t="s">
        <v>2604</v>
      </c>
      <c r="H84" s="537"/>
      <c r="I84" s="537"/>
      <c r="J84" s="537"/>
      <c r="K84" s="538"/>
      <c r="L84" s="539"/>
      <c r="M84" s="540"/>
      <c r="N84" s="1150"/>
      <c r="O84" s="1150"/>
      <c r="P84" s="2622"/>
      <c r="Q84" s="502"/>
    </row>
    <row r="85" spans="1:17" ht="15.75" thickBot="1">
      <c r="A85" s="532"/>
      <c r="B85" s="541"/>
      <c r="C85" s="542">
        <v>100</v>
      </c>
      <c r="D85" s="542">
        <f>C85-$K23</f>
        <v>98</v>
      </c>
      <c r="E85" s="542">
        <f>D85-$K23</f>
        <v>96</v>
      </c>
      <c r="F85" s="542">
        <f>E85-$K23</f>
        <v>94</v>
      </c>
      <c r="G85" s="542">
        <f>F85-$K23</f>
        <v>92</v>
      </c>
      <c r="H85" s="542"/>
      <c r="I85" s="542"/>
      <c r="J85" s="542"/>
      <c r="K85" s="542"/>
      <c r="L85" s="542"/>
      <c r="M85" s="543"/>
      <c r="N85" s="1151"/>
      <c r="O85" s="1151"/>
      <c r="P85" s="2622"/>
      <c r="Q85" s="502"/>
    </row>
    <row r="86" spans="1:17" s="115" customFormat="1" ht="15.75" thickTop="1">
      <c r="A86" s="577"/>
      <c r="B86" s="536" t="s">
        <v>2613</v>
      </c>
      <c r="C86" s="552"/>
      <c r="D86" s="552"/>
      <c r="E86" s="552"/>
      <c r="F86" s="552"/>
      <c r="G86" s="552"/>
      <c r="H86" s="552"/>
      <c r="I86" s="552"/>
      <c r="J86" s="552"/>
      <c r="K86" s="552"/>
      <c r="L86" s="578"/>
      <c r="M86" s="579"/>
      <c r="N86" s="1149"/>
      <c r="O86" s="1149"/>
      <c r="P86" s="2622"/>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1"/>
      <c r="O87" s="1151"/>
      <c r="P87" s="2622"/>
      <c r="Q87" s="502"/>
    </row>
    <row r="88" spans="1:17" s="115" customFormat="1" ht="15.75" thickTop="1">
      <c r="A88" s="577"/>
      <c r="B88" s="536" t="s">
        <v>2614</v>
      </c>
      <c r="C88" s="552"/>
      <c r="D88" s="552"/>
      <c r="E88" s="552"/>
      <c r="F88" s="2627"/>
      <c r="G88" s="552"/>
      <c r="H88" s="552"/>
      <c r="I88" s="552"/>
      <c r="J88" s="552"/>
      <c r="K88" s="552"/>
      <c r="L88" s="552"/>
      <c r="M88" s="579"/>
      <c r="N88" s="1149"/>
      <c r="O88" s="1149"/>
      <c r="P88" s="2622"/>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1"/>
      <c r="O89" s="1151"/>
      <c r="P89" s="2622"/>
      <c r="Q89" s="502"/>
    </row>
    <row r="90" spans="1:17" s="469" customFormat="1" ht="15.75" thickTop="1">
      <c r="A90" s="551"/>
      <c r="B90" s="536">
        <f>B27</f>
        <v>111</v>
      </c>
      <c r="C90" s="552"/>
      <c r="D90" s="552"/>
      <c r="E90" s="552"/>
      <c r="F90" s="552"/>
      <c r="G90" s="552"/>
      <c r="H90" s="553"/>
      <c r="I90" s="553"/>
      <c r="J90" s="553"/>
      <c r="K90" s="553"/>
      <c r="L90" s="554"/>
      <c r="M90" s="555"/>
      <c r="N90" s="1152"/>
      <c r="O90" s="1152"/>
      <c r="P90" s="2623"/>
      <c r="Q90" s="557"/>
    </row>
    <row r="91" spans="1:17" s="469" customFormat="1" ht="15.75" thickBot="1">
      <c r="A91" s="551"/>
      <c r="B91" s="541"/>
      <c r="C91" s="558"/>
      <c r="D91" s="558"/>
      <c r="E91" s="558"/>
      <c r="F91" s="558"/>
      <c r="G91" s="558"/>
      <c r="H91" s="560"/>
      <c r="I91" s="560"/>
      <c r="J91" s="560"/>
      <c r="K91" s="560"/>
      <c r="L91" s="560"/>
      <c r="M91" s="561"/>
      <c r="N91" s="1152"/>
      <c r="O91" s="1152"/>
      <c r="P91" s="2623"/>
      <c r="Q91" s="557"/>
    </row>
    <row r="92" spans="1:17" ht="15.75" thickTop="1">
      <c r="A92" s="532"/>
      <c r="B92" s="536">
        <f>B28</f>
        <v>111</v>
      </c>
      <c r="C92" s="552"/>
      <c r="D92" s="552"/>
      <c r="E92" s="552"/>
      <c r="F92" s="552"/>
      <c r="G92" s="581"/>
      <c r="H92" s="581"/>
      <c r="I92" s="581"/>
      <c r="J92" s="581"/>
      <c r="K92" s="582"/>
      <c r="L92" s="583"/>
      <c r="M92" s="584"/>
      <c r="N92" s="1150"/>
      <c r="O92" s="1150"/>
      <c r="P92" s="2622"/>
      <c r="Q92" s="502"/>
    </row>
    <row r="93" spans="1:17" ht="15.75" thickBot="1">
      <c r="A93" s="532"/>
      <c r="B93" s="541"/>
      <c r="C93" s="558"/>
      <c r="D93" s="534"/>
      <c r="E93" s="534"/>
      <c r="F93" s="534"/>
      <c r="G93" s="534"/>
      <c r="H93" s="534"/>
      <c r="I93" s="534"/>
      <c r="J93" s="534"/>
      <c r="K93" s="534"/>
      <c r="L93" s="534"/>
      <c r="M93" s="535"/>
      <c r="N93" s="1151"/>
      <c r="O93" s="1151"/>
      <c r="P93" s="2622"/>
      <c r="Q93" s="502"/>
    </row>
    <row r="94" spans="1:17" ht="15.75" thickTop="1">
      <c r="A94" s="532"/>
      <c r="B94" s="536">
        <f>B29</f>
        <v>111</v>
      </c>
      <c r="C94" s="552"/>
      <c r="D94" s="552"/>
      <c r="E94" s="552"/>
      <c r="F94" s="552"/>
      <c r="G94" s="581"/>
      <c r="H94" s="581"/>
      <c r="I94" s="581"/>
      <c r="J94" s="581"/>
      <c r="K94" s="582"/>
      <c r="L94" s="583"/>
      <c r="M94" s="584"/>
      <c r="N94" s="1150"/>
      <c r="O94" s="1150"/>
      <c r="P94" s="2622"/>
      <c r="Q94" s="502"/>
    </row>
    <row r="95" spans="1:17" ht="15.75" thickBot="1">
      <c r="A95" s="532"/>
      <c r="B95" s="541"/>
      <c r="C95" s="558"/>
      <c r="D95" s="558"/>
      <c r="E95" s="558"/>
      <c r="F95" s="558"/>
      <c r="G95" s="534"/>
      <c r="H95" s="534"/>
      <c r="I95" s="534"/>
      <c r="J95" s="534"/>
      <c r="K95" s="534"/>
      <c r="L95" s="534"/>
      <c r="M95" s="535"/>
      <c r="N95" s="1151"/>
      <c r="O95" s="1151"/>
      <c r="P95" s="2622"/>
      <c r="Q95" s="502"/>
    </row>
    <row r="96" spans="1:17" ht="15.75" thickTop="1">
      <c r="A96" s="532"/>
      <c r="B96" s="536">
        <f>B30</f>
        <v>111</v>
      </c>
      <c r="C96" s="552"/>
      <c r="D96" s="552"/>
      <c r="E96" s="552"/>
      <c r="F96" s="552"/>
      <c r="G96" s="581"/>
      <c r="H96" s="581"/>
      <c r="I96" s="581"/>
      <c r="J96" s="581"/>
      <c r="K96" s="582"/>
      <c r="L96" s="583"/>
      <c r="M96" s="584"/>
      <c r="N96" s="1150"/>
      <c r="O96" s="1150"/>
      <c r="P96" s="2622"/>
      <c r="Q96" s="502"/>
    </row>
    <row r="97" spans="1:17" ht="15.75" thickBot="1">
      <c r="A97" s="532"/>
      <c r="B97" s="541"/>
      <c r="C97" s="568"/>
      <c r="D97" s="568"/>
      <c r="E97" s="568"/>
      <c r="F97" s="568"/>
      <c r="G97" s="534"/>
      <c r="H97" s="534"/>
      <c r="I97" s="534"/>
      <c r="J97" s="534"/>
      <c r="K97" s="534"/>
      <c r="L97" s="534"/>
      <c r="M97" s="535"/>
      <c r="N97" s="1151"/>
      <c r="O97" s="1151"/>
      <c r="P97" s="2622"/>
      <c r="Q97" s="502"/>
    </row>
    <row r="98" spans="1:17" ht="15.75" thickTop="1">
      <c r="A98" s="532"/>
      <c r="B98" s="544">
        <f>B31</f>
        <v>111</v>
      </c>
      <c r="C98" s="585"/>
      <c r="D98" s="585"/>
      <c r="E98" s="585"/>
      <c r="F98" s="585"/>
      <c r="G98" s="585"/>
      <c r="H98" s="585"/>
      <c r="I98" s="585"/>
      <c r="J98" s="585"/>
      <c r="K98" s="586"/>
      <c r="L98" s="587"/>
      <c r="M98" s="588"/>
      <c r="N98" s="1150"/>
      <c r="O98" s="1150"/>
      <c r="P98" s="2622"/>
      <c r="Q98" s="502"/>
    </row>
    <row r="99" spans="1:17" ht="15.75" thickBot="1">
      <c r="A99" s="2628"/>
      <c r="B99" s="567"/>
      <c r="C99" s="589"/>
      <c r="D99" s="589"/>
      <c r="E99" s="589"/>
      <c r="F99" s="589"/>
      <c r="G99" s="589"/>
      <c r="H99" s="589"/>
      <c r="I99" s="589"/>
      <c r="J99" s="589"/>
      <c r="K99" s="589"/>
      <c r="L99" s="589"/>
      <c r="M99" s="590"/>
      <c r="N99" s="1151"/>
      <c r="O99" s="1151"/>
      <c r="P99" s="2622"/>
      <c r="Q99" s="502"/>
    </row>
    <row r="100" spans="1:17">
      <c r="A100" s="525" t="s">
        <v>2566</v>
      </c>
      <c r="B100" s="526" t="s">
        <v>2615</v>
      </c>
      <c r="C100" s="2939" t="s">
        <v>3142</v>
      </c>
      <c r="D100" s="528"/>
      <c r="E100" s="528"/>
      <c r="F100" s="528"/>
      <c r="G100" s="528"/>
      <c r="H100" s="528"/>
      <c r="I100" s="528"/>
      <c r="J100" s="528"/>
      <c r="K100" s="529"/>
      <c r="L100" s="530"/>
      <c r="M100" s="531"/>
      <c r="N100" s="1150"/>
      <c r="O100" s="1150"/>
      <c r="P100" s="2622"/>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1"/>
      <c r="O101" s="1151"/>
      <c r="P101" s="2622"/>
      <c r="Q101" s="502"/>
    </row>
    <row r="102" spans="1:17" ht="29.25" thickTop="1">
      <c r="A102" s="532"/>
      <c r="B102" s="536" t="s">
        <v>2616</v>
      </c>
      <c r="C102" s="576" t="str">
        <f>C103&amp;"(含)"&amp;"-"&amp;D103</f>
        <v>1(含)-200000</v>
      </c>
      <c r="D102" s="576" t="str">
        <f t="shared" ref="D102:L102" si="27">D103&amp;"(含)"&amp;"-"&amp;E103</f>
        <v>200000(含)-400000</v>
      </c>
      <c r="E102" s="576" t="str">
        <f t="shared" si="27"/>
        <v>400000(含)-600000</v>
      </c>
      <c r="F102" s="576" t="str">
        <f t="shared" si="27"/>
        <v>600000(含)-800000</v>
      </c>
      <c r="G102" s="576" t="str">
        <f t="shared" si="27"/>
        <v>800000(含)-1000000</v>
      </c>
      <c r="H102" s="576" t="str">
        <f t="shared" si="27"/>
        <v>1000000(含)-</v>
      </c>
      <c r="I102" s="576" t="str">
        <f t="shared" si="27"/>
        <v>(含)-</v>
      </c>
      <c r="J102" s="576" t="str">
        <f t="shared" si="27"/>
        <v>(含)-</v>
      </c>
      <c r="K102" s="576" t="str">
        <f>K103&amp;"(含)"&amp;"-"&amp;L103</f>
        <v>(含)-</v>
      </c>
      <c r="L102" s="576" t="str">
        <f t="shared" si="27"/>
        <v>(含)-</v>
      </c>
      <c r="M102" s="576" t="str">
        <f>M103&amp;"(含)"&amp;"-"&amp;P103</f>
        <v>(含)-</v>
      </c>
      <c r="N102" s="1149"/>
      <c r="O102" s="1149"/>
      <c r="P102" s="2622"/>
      <c r="Q102" s="502"/>
    </row>
    <row r="103" spans="1:17" s="469" customFormat="1">
      <c r="A103" s="591"/>
      <c r="B103" s="592"/>
      <c r="C103" s="593">
        <v>1</v>
      </c>
      <c r="D103" s="593">
        <v>200000</v>
      </c>
      <c r="E103" s="593">
        <v>400000</v>
      </c>
      <c r="F103" s="593">
        <v>600000</v>
      </c>
      <c r="G103" s="593">
        <v>800000</v>
      </c>
      <c r="H103" s="593">
        <v>1000000</v>
      </c>
      <c r="I103" s="593"/>
      <c r="J103" s="594"/>
      <c r="K103" s="594"/>
      <c r="L103" s="595"/>
      <c r="M103" s="596"/>
      <c r="N103" s="1152"/>
      <c r="O103" s="1152"/>
      <c r="P103" s="2623"/>
      <c r="Q103" s="557"/>
    </row>
    <row r="104" spans="1:17" s="469" customFormat="1" ht="15.75" thickBot="1">
      <c r="A104" s="551"/>
      <c r="B104" s="541"/>
      <c r="C104" s="558">
        <v>100</v>
      </c>
      <c r="D104" s="534">
        <v>101</v>
      </c>
      <c r="E104" s="534">
        <v>102</v>
      </c>
      <c r="F104" s="558">
        <v>103</v>
      </c>
      <c r="G104" s="534">
        <v>104</v>
      </c>
      <c r="H104" s="534">
        <v>105</v>
      </c>
      <c r="I104" s="534"/>
      <c r="J104" s="534"/>
      <c r="K104" s="534"/>
      <c r="L104" s="534"/>
      <c r="M104" s="534"/>
      <c r="N104" s="1151"/>
      <c r="O104" s="1151"/>
      <c r="P104" s="2623"/>
      <c r="Q104" s="557"/>
    </row>
    <row r="105" spans="1:17" ht="15" thickTop="1">
      <c r="A105" s="597"/>
      <c r="B105" s="536" t="s">
        <v>2617</v>
      </c>
      <c r="C105" s="2941" t="s">
        <v>3143</v>
      </c>
      <c r="D105" s="552"/>
      <c r="E105" s="581"/>
      <c r="F105" s="581"/>
      <c r="G105" s="581"/>
      <c r="H105" s="581"/>
      <c r="I105" s="581"/>
      <c r="J105" s="581"/>
      <c r="K105" s="582"/>
      <c r="L105" s="583"/>
      <c r="M105" s="584"/>
      <c r="N105" s="1150"/>
      <c r="O105" s="1150"/>
      <c r="P105" s="2622"/>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1"/>
      <c r="O106" s="1151"/>
      <c r="P106" s="2622"/>
      <c r="Q106" s="502"/>
    </row>
    <row r="107" spans="1:17" ht="15" thickTop="1">
      <c r="A107" s="597"/>
      <c r="B107" s="536" t="s">
        <v>2618</v>
      </c>
      <c r="C107" s="2940" t="s">
        <v>3145</v>
      </c>
      <c r="D107" s="581"/>
      <c r="E107" s="581"/>
      <c r="F107" s="581"/>
      <c r="G107" s="581"/>
      <c r="H107" s="581"/>
      <c r="I107" s="581"/>
      <c r="J107" s="581"/>
      <c r="K107" s="582"/>
      <c r="L107" s="583"/>
      <c r="M107" s="584"/>
      <c r="N107" s="1150"/>
      <c r="O107" s="1150"/>
      <c r="P107" s="2622"/>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1"/>
      <c r="O108" s="1151"/>
      <c r="P108" s="2622"/>
      <c r="Q108" s="502"/>
    </row>
    <row r="109" spans="1:17" ht="15" thickTop="1">
      <c r="A109" s="597"/>
      <c r="B109" s="536" t="s">
        <v>2619</v>
      </c>
      <c r="C109" s="2941" t="s">
        <v>3147</v>
      </c>
      <c r="D109" s="552"/>
      <c r="E109" s="552"/>
      <c r="F109" s="581"/>
      <c r="G109" s="581"/>
      <c r="H109" s="581"/>
      <c r="I109" s="581"/>
      <c r="J109" s="581"/>
      <c r="K109" s="582"/>
      <c r="L109" s="583"/>
      <c r="M109" s="584"/>
      <c r="N109" s="1150"/>
      <c r="O109" s="1150"/>
      <c r="P109" s="2622"/>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1"/>
      <c r="O110" s="1151"/>
      <c r="P110" s="2622"/>
      <c r="Q110" s="502"/>
    </row>
    <row r="111" spans="1:17" s="469" customFormat="1" ht="15" thickTop="1">
      <c r="A111" s="591"/>
      <c r="B111" s="536" t="s">
        <v>2002</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2"/>
      <c r="O111" s="1152"/>
      <c r="P111" s="2623"/>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2"/>
      <c r="O112" s="1152"/>
      <c r="P112" s="2623"/>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2"/>
      <c r="O113" s="1152"/>
      <c r="P113" s="2623"/>
      <c r="Q113" s="557"/>
    </row>
    <row r="114" spans="1:17" ht="15" thickTop="1">
      <c r="A114" s="597"/>
      <c r="B114" s="536" t="s">
        <v>2620</v>
      </c>
      <c r="C114" s="2941" t="s">
        <v>3149</v>
      </c>
      <c r="D114" s="552"/>
      <c r="E114" s="581"/>
      <c r="F114" s="581"/>
      <c r="G114" s="581"/>
      <c r="H114" s="581"/>
      <c r="I114" s="581"/>
      <c r="J114" s="581"/>
      <c r="K114" s="582"/>
      <c r="L114" s="583"/>
      <c r="M114" s="584"/>
      <c r="N114" s="1150"/>
      <c r="O114" s="1150"/>
      <c r="P114" s="2622"/>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1"/>
      <c r="O115" s="1151"/>
      <c r="P115" s="2622"/>
      <c r="Q115" s="502"/>
    </row>
    <row r="116" spans="1:17" ht="15" thickTop="1">
      <c r="A116" s="597"/>
      <c r="B116" s="536" t="s">
        <v>2621</v>
      </c>
      <c r="C116" s="2941" t="s">
        <v>3152</v>
      </c>
      <c r="D116" s="552"/>
      <c r="E116" s="552"/>
      <c r="F116" s="552"/>
      <c r="G116" s="552"/>
      <c r="H116" s="581"/>
      <c r="I116" s="581"/>
      <c r="J116" s="581"/>
      <c r="K116" s="582"/>
      <c r="L116" s="583"/>
      <c r="M116" s="584"/>
      <c r="N116" s="1150"/>
      <c r="O116" s="1150"/>
      <c r="P116" s="2622"/>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1"/>
      <c r="O117" s="1151"/>
      <c r="P117" s="2622"/>
      <c r="Q117" s="502"/>
    </row>
    <row r="118" spans="1:17" ht="15" thickTop="1">
      <c r="A118" s="597"/>
      <c r="B118" s="536" t="s">
        <v>2622</v>
      </c>
      <c r="C118" s="2940" t="s">
        <v>3151</v>
      </c>
      <c r="D118" s="581"/>
      <c r="E118" s="581"/>
      <c r="F118" s="581"/>
      <c r="G118" s="581"/>
      <c r="H118" s="581"/>
      <c r="I118" s="581"/>
      <c r="J118" s="581"/>
      <c r="K118" s="582"/>
      <c r="L118" s="583"/>
      <c r="M118" s="584"/>
      <c r="N118" s="1150"/>
      <c r="O118" s="1150"/>
      <c r="P118" s="2622"/>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1"/>
      <c r="O119" s="1151"/>
      <c r="P119" s="2622"/>
      <c r="Q119" s="502"/>
    </row>
    <row r="120" spans="1:17" s="469" customFormat="1" ht="28.5" thickTop="1">
      <c r="A120" s="591"/>
      <c r="B120" s="536" t="s">
        <v>2577</v>
      </c>
      <c r="C120" s="552"/>
      <c r="D120" s="552"/>
      <c r="E120" s="552"/>
      <c r="F120" s="552"/>
      <c r="G120" s="552"/>
      <c r="H120" s="552"/>
      <c r="I120" s="552"/>
      <c r="J120" s="552"/>
      <c r="K120" s="552"/>
      <c r="L120" s="578"/>
      <c r="M120" s="579"/>
      <c r="N120" s="1152"/>
      <c r="O120" s="1152"/>
      <c r="P120" s="2623"/>
      <c r="Q120" s="557"/>
    </row>
    <row r="121" spans="1:17" s="469" customFormat="1" ht="15.75" thickBot="1">
      <c r="A121" s="551"/>
      <c r="B121" s="533"/>
      <c r="C121" s="558"/>
      <c r="D121" s="534"/>
      <c r="E121" s="534"/>
      <c r="F121" s="534"/>
      <c r="G121" s="534"/>
      <c r="H121" s="534"/>
      <c r="I121" s="534"/>
      <c r="J121" s="534"/>
      <c r="K121" s="534"/>
      <c r="L121" s="534"/>
      <c r="M121" s="534"/>
      <c r="N121" s="1152"/>
      <c r="O121" s="1152"/>
      <c r="P121" s="2623"/>
      <c r="Q121" s="557"/>
    </row>
    <row r="122" spans="1:17" ht="15" thickTop="1">
      <c r="A122" s="597"/>
      <c r="B122" s="536" t="s">
        <v>2623</v>
      </c>
      <c r="C122" s="2940" t="s">
        <v>3161</v>
      </c>
      <c r="D122" s="2941" t="s">
        <v>3160</v>
      </c>
      <c r="E122" s="2941" t="s">
        <v>3159</v>
      </c>
      <c r="F122" s="2940" t="s">
        <v>3154</v>
      </c>
      <c r="G122" s="581"/>
      <c r="H122" s="581"/>
      <c r="I122" s="581"/>
      <c r="J122" s="581"/>
      <c r="K122" s="582"/>
      <c r="L122" s="583"/>
      <c r="M122" s="584"/>
      <c r="N122" s="1150"/>
      <c r="O122" s="1150"/>
      <c r="P122" s="2622"/>
      <c r="Q122" s="502"/>
    </row>
    <row r="123" spans="1:17" ht="15.75" thickBot="1">
      <c r="A123" s="532"/>
      <c r="B123" s="541"/>
      <c r="C123" s="542">
        <v>100</v>
      </c>
      <c r="D123" s="542">
        <f t="shared" ref="D123:M123" si="33">C123-$K42</f>
        <v>98</v>
      </c>
      <c r="E123" s="542">
        <f t="shared" si="33"/>
        <v>96</v>
      </c>
      <c r="F123" s="542">
        <f t="shared" si="33"/>
        <v>94</v>
      </c>
      <c r="G123" s="542">
        <f t="shared" si="33"/>
        <v>92</v>
      </c>
      <c r="H123" s="542">
        <f t="shared" si="33"/>
        <v>90</v>
      </c>
      <c r="I123" s="542">
        <f t="shared" si="33"/>
        <v>88</v>
      </c>
      <c r="J123" s="542">
        <f t="shared" si="33"/>
        <v>86</v>
      </c>
      <c r="K123" s="542">
        <f t="shared" si="33"/>
        <v>84</v>
      </c>
      <c r="L123" s="542">
        <f t="shared" si="33"/>
        <v>82</v>
      </c>
      <c r="M123" s="542">
        <f t="shared" si="33"/>
        <v>80</v>
      </c>
      <c r="N123" s="1151"/>
      <c r="O123" s="1151"/>
      <c r="P123" s="2622"/>
      <c r="Q123" s="502"/>
    </row>
    <row r="124" spans="1:17" ht="15" thickTop="1">
      <c r="A124" s="597"/>
      <c r="B124" s="536" t="s">
        <v>2624</v>
      </c>
      <c r="C124" s="576" t="s">
        <v>2600</v>
      </c>
      <c r="D124" s="576" t="s">
        <v>2601</v>
      </c>
      <c r="E124" s="576" t="s">
        <v>2602</v>
      </c>
      <c r="F124" s="576" t="s">
        <v>2603</v>
      </c>
      <c r="G124" s="576" t="s">
        <v>2604</v>
      </c>
      <c r="H124" s="537"/>
      <c r="I124" s="537"/>
      <c r="J124" s="537"/>
      <c r="K124" s="538"/>
      <c r="L124" s="539"/>
      <c r="M124" s="540"/>
      <c r="N124" s="1150"/>
      <c r="O124" s="1150"/>
      <c r="P124" s="2623"/>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1"/>
      <c r="O125" s="1151"/>
      <c r="P125" s="2622"/>
      <c r="Q125" s="502"/>
    </row>
    <row r="126" spans="1:17" s="469" customFormat="1" ht="15" thickTop="1">
      <c r="A126" s="591"/>
      <c r="B126" s="536">
        <f>B44</f>
        <v>111</v>
      </c>
      <c r="C126" s="552"/>
      <c r="D126" s="552"/>
      <c r="E126" s="552"/>
      <c r="F126" s="552"/>
      <c r="G126" s="552"/>
      <c r="H126" s="553"/>
      <c r="I126" s="553"/>
      <c r="J126" s="553"/>
      <c r="K126" s="553"/>
      <c r="L126" s="554"/>
      <c r="M126" s="555"/>
      <c r="N126" s="1152"/>
      <c r="O126" s="1152"/>
      <c r="P126" s="2623"/>
      <c r="Q126" s="557"/>
    </row>
    <row r="127" spans="1:17" s="469" customFormat="1" ht="15.75" thickBot="1">
      <c r="A127" s="551"/>
      <c r="B127" s="541"/>
      <c r="C127" s="558"/>
      <c r="D127" s="534"/>
      <c r="E127" s="534"/>
      <c r="F127" s="534"/>
      <c r="G127" s="558"/>
      <c r="H127" s="560"/>
      <c r="I127" s="560"/>
      <c r="J127" s="560"/>
      <c r="K127" s="560"/>
      <c r="L127" s="560"/>
      <c r="M127" s="561"/>
      <c r="N127" s="1152"/>
      <c r="O127" s="1152"/>
      <c r="P127" s="2623"/>
      <c r="Q127" s="557"/>
    </row>
    <row r="128" spans="1:17" ht="15" thickTop="1">
      <c r="A128" s="597"/>
      <c r="B128" s="536">
        <f>B45</f>
        <v>111</v>
      </c>
      <c r="C128" s="552"/>
      <c r="D128" s="552"/>
      <c r="E128" s="552"/>
      <c r="F128" s="552"/>
      <c r="G128" s="581"/>
      <c r="H128" s="581"/>
      <c r="I128" s="581"/>
      <c r="J128" s="581"/>
      <c r="K128" s="582"/>
      <c r="L128" s="583"/>
      <c r="M128" s="584"/>
      <c r="N128" s="1150"/>
      <c r="O128" s="1150"/>
      <c r="P128" s="2622"/>
      <c r="Q128" s="502"/>
    </row>
    <row r="129" spans="1:17" ht="15.75" thickBot="1">
      <c r="A129" s="532"/>
      <c r="B129" s="541"/>
      <c r="C129" s="558"/>
      <c r="D129" s="558"/>
      <c r="E129" s="558"/>
      <c r="F129" s="558"/>
      <c r="G129" s="534"/>
      <c r="H129" s="534"/>
      <c r="I129" s="534"/>
      <c r="J129" s="534"/>
      <c r="K129" s="534"/>
      <c r="L129" s="534"/>
      <c r="M129" s="535"/>
      <c r="N129" s="1151"/>
      <c r="O129" s="1151"/>
      <c r="P129" s="2622"/>
      <c r="Q129" s="502"/>
    </row>
    <row r="130" spans="1:17" ht="15" thickTop="1">
      <c r="A130" s="597"/>
      <c r="B130" s="544">
        <f>B46</f>
        <v>111</v>
      </c>
      <c r="C130" s="552"/>
      <c r="D130" s="552"/>
      <c r="E130" s="552"/>
      <c r="F130" s="552"/>
      <c r="G130" s="585"/>
      <c r="H130" s="585"/>
      <c r="I130" s="585"/>
      <c r="J130" s="585"/>
      <c r="K130" s="521"/>
      <c r="L130" s="522"/>
      <c r="M130" s="588"/>
      <c r="N130" s="1150"/>
      <c r="O130" s="1150"/>
      <c r="P130" s="2622"/>
      <c r="Q130" s="502"/>
    </row>
    <row r="131" spans="1:17" ht="15.75" thickBot="1">
      <c r="A131" s="2628"/>
      <c r="B131" s="567"/>
      <c r="C131" s="568"/>
      <c r="D131" s="568"/>
      <c r="E131" s="568"/>
      <c r="F131" s="568"/>
      <c r="G131" s="589"/>
      <c r="H131" s="589"/>
      <c r="I131" s="589"/>
      <c r="J131" s="589"/>
      <c r="K131" s="589"/>
      <c r="L131" s="589"/>
      <c r="M131" s="590"/>
      <c r="N131" s="1151"/>
      <c r="O131" s="1151"/>
      <c r="P131" s="2622"/>
      <c r="Q131" s="502"/>
    </row>
    <row r="136" spans="1:17" ht="15" thickBot="1">
      <c r="B136" s="2629" t="s">
        <v>2625</v>
      </c>
    </row>
    <row r="137" spans="1:17" ht="15">
      <c r="B137" s="2630" t="s">
        <v>2626</v>
      </c>
      <c r="C137" s="2631"/>
      <c r="D137" s="2631"/>
      <c r="E137" s="2631"/>
      <c r="F137" s="2631"/>
      <c r="G137" s="2632"/>
      <c r="H137" s="2633"/>
      <c r="I137" s="2634" t="s">
        <v>2627</v>
      </c>
      <c r="J137" s="2631"/>
      <c r="K137" s="2635"/>
    </row>
    <row r="138" spans="1:17" ht="15">
      <c r="B138" s="2636"/>
      <c r="C138" s="143" t="s">
        <v>2628</v>
      </c>
      <c r="D138" s="143" t="s">
        <v>2629</v>
      </c>
      <c r="E138" s="2637" t="s">
        <v>2630</v>
      </c>
      <c r="F138" s="2638" t="s">
        <v>2631</v>
      </c>
      <c r="G138" s="143" t="s">
        <v>2629</v>
      </c>
      <c r="H138" s="144" t="s">
        <v>2630</v>
      </c>
      <c r="I138" s="2639"/>
      <c r="J138" s="143" t="s">
        <v>2632</v>
      </c>
      <c r="K138" s="144" t="s">
        <v>2633</v>
      </c>
    </row>
    <row r="139" spans="1:17" ht="15">
      <c r="B139" s="1082">
        <v>6</v>
      </c>
      <c r="C139" s="1083">
        <v>96</v>
      </c>
      <c r="D139" s="2640" t="s">
        <v>2634</v>
      </c>
      <c r="E139" s="1084">
        <v>100</v>
      </c>
      <c r="F139" s="1085">
        <v>102.5</v>
      </c>
      <c r="G139" s="2640" t="s">
        <v>2634</v>
      </c>
      <c r="H139" s="1086">
        <v>105</v>
      </c>
      <c r="I139" s="2641" t="s">
        <v>2635</v>
      </c>
      <c r="J139" s="1083">
        <v>20</v>
      </c>
      <c r="K139" s="1087">
        <f>C145/(J139-2)</f>
        <v>4.0555555555555553E-3</v>
      </c>
    </row>
    <row r="140" spans="1:17" ht="15">
      <c r="B140" s="1088">
        <v>5</v>
      </c>
      <c r="C140" s="1089">
        <v>100</v>
      </c>
      <c r="D140" s="1089"/>
      <c r="E140" s="1090"/>
      <c r="F140" s="1091">
        <v>102</v>
      </c>
      <c r="G140" s="1089"/>
      <c r="H140" s="1092"/>
      <c r="I140" s="2642" t="s">
        <v>2636</v>
      </c>
      <c r="J140" s="313">
        <f>ROUNDUP((J139-1)/2,0)</f>
        <v>10</v>
      </c>
      <c r="K140" s="1093">
        <v>100</v>
      </c>
    </row>
    <row r="141" spans="1:17" ht="15">
      <c r="B141" s="1088">
        <v>4</v>
      </c>
      <c r="C141" s="1089">
        <v>102</v>
      </c>
      <c r="D141" s="1089"/>
      <c r="E141" s="1090"/>
      <c r="F141" s="1091">
        <v>101.5</v>
      </c>
      <c r="G141" s="1089"/>
      <c r="H141" s="1092"/>
      <c r="I141" s="2642" t="s">
        <v>2637</v>
      </c>
      <c r="J141" s="313">
        <v>1</v>
      </c>
      <c r="K141" s="1094">
        <f>ROUND(100+(J141-J140)*K139*100,1)</f>
        <v>96.4</v>
      </c>
    </row>
    <row r="142" spans="1:17" ht="15">
      <c r="B142" s="1088">
        <v>3</v>
      </c>
      <c r="C142" s="1089">
        <v>103</v>
      </c>
      <c r="D142" s="1089"/>
      <c r="E142" s="1090"/>
      <c r="F142" s="1091">
        <v>101</v>
      </c>
      <c r="G142" s="1089"/>
      <c r="H142" s="1092"/>
      <c r="I142" s="2642" t="s">
        <v>2638</v>
      </c>
      <c r="J142" s="313">
        <f>J139</f>
        <v>20</v>
      </c>
      <c r="K142" s="1095">
        <v>95</v>
      </c>
    </row>
    <row r="143" spans="1:17" ht="15">
      <c r="B143" s="1088">
        <v>2</v>
      </c>
      <c r="C143" s="1089">
        <v>100</v>
      </c>
      <c r="D143" s="1089"/>
      <c r="E143" s="1090"/>
      <c r="F143" s="1091">
        <v>100.5</v>
      </c>
      <c r="G143" s="1089"/>
      <c r="H143" s="1092"/>
      <c r="I143" s="2642" t="s">
        <v>2639</v>
      </c>
      <c r="J143" s="1089">
        <v>15</v>
      </c>
      <c r="K143" s="1094">
        <f>ROUND(100+(J143-J140)*K139*100,1)</f>
        <v>102</v>
      </c>
    </row>
    <row r="144" spans="1:17" ht="15">
      <c r="B144" s="1088">
        <v>1</v>
      </c>
      <c r="C144" s="1089">
        <v>98</v>
      </c>
      <c r="D144" s="2643" t="s">
        <v>2640</v>
      </c>
      <c r="E144" s="1090">
        <v>102</v>
      </c>
      <c r="F144" s="1096">
        <v>100</v>
      </c>
      <c r="G144" s="2643" t="s">
        <v>2640</v>
      </c>
      <c r="H144" s="1092">
        <v>105</v>
      </c>
      <c r="I144" s="2642" t="s">
        <v>2639</v>
      </c>
      <c r="J144" s="1089">
        <v>18</v>
      </c>
      <c r="K144" s="1094">
        <f>ROUND(100+(J144-J140)*K139*100,1)</f>
        <v>103.2</v>
      </c>
    </row>
    <row r="145" spans="2:11" ht="15.75" thickBot="1">
      <c r="B145" s="2644" t="s">
        <v>2641</v>
      </c>
      <c r="C145" s="1097">
        <f>ROUND(MAX(C139:C144)/MIN(C139:C144)-1,3)</f>
        <v>7.2999999999999995E-2</v>
      </c>
      <c r="D145" s="1098"/>
      <c r="E145" s="1098"/>
      <c r="F145" s="2645" t="s">
        <v>2642</v>
      </c>
      <c r="G145" s="2646"/>
      <c r="H145" s="2647"/>
      <c r="I145" s="2648" t="s">
        <v>2639</v>
      </c>
      <c r="J145" s="1099">
        <v>8</v>
      </c>
      <c r="K145" s="1100">
        <f>ROUND(100+(J145-J140)*K139*100,1)</f>
        <v>99.2</v>
      </c>
    </row>
    <row r="147" spans="2:11">
      <c r="B147" s="2629" t="s">
        <v>2643</v>
      </c>
    </row>
    <row r="148" spans="2:11">
      <c r="B148" s="2629" t="s">
        <v>2644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3" priority="15" stopIfTrue="1" operator="containsText" text="超过">
      <formula>NOT(ISERROR(SEARCH("超过",F52)))</formula>
    </cfRule>
  </conditionalFormatting>
  <conditionalFormatting sqref="J54">
    <cfRule type="containsText" dxfId="112" priority="14" stopIfTrue="1" operator="containsText" text="超过">
      <formula>NOT(ISERROR(SEARCH("超过",J54)))</formula>
    </cfRule>
  </conditionalFormatting>
  <conditionalFormatting sqref="H54">
    <cfRule type="containsText" dxfId="111" priority="13" stopIfTrue="1" operator="containsText" text="超过">
      <formula>NOT(ISERROR(SEARCH("超过",H54)))</formula>
    </cfRule>
  </conditionalFormatting>
  <conditionalFormatting sqref="F54">
    <cfRule type="containsText" dxfId="110" priority="12" stopIfTrue="1" operator="containsText" text="超过">
      <formula>NOT(ISERROR(SEARCH("超过",F54)))</formula>
    </cfRule>
  </conditionalFormatting>
  <conditionalFormatting sqref="F53 H53 J53">
    <cfRule type="containsText" dxfId="109" priority="11" stopIfTrue="1" operator="containsText" text="超过">
      <formula>NOT(ISERROR(SEARCH("超过",F53)))</formula>
    </cfRule>
  </conditionalFormatting>
  <conditionalFormatting sqref="E52">
    <cfRule type="expression" dxfId="108" priority="10" stopIfTrue="1">
      <formula>$F$52="超过30%"</formula>
    </cfRule>
  </conditionalFormatting>
  <conditionalFormatting sqref="G54">
    <cfRule type="expression" dxfId="107" priority="8" stopIfTrue="1">
      <formula>$H$54="超过30%"</formula>
    </cfRule>
  </conditionalFormatting>
  <conditionalFormatting sqref="E53">
    <cfRule type="expression" dxfId="106" priority="7" stopIfTrue="1">
      <formula>$F$53="超过20%"</formula>
    </cfRule>
  </conditionalFormatting>
  <conditionalFormatting sqref="E54">
    <cfRule type="expression" dxfId="105" priority="6" stopIfTrue="1">
      <formula>$F$54="超过30%"</formula>
    </cfRule>
  </conditionalFormatting>
  <conditionalFormatting sqref="G52">
    <cfRule type="expression" dxfId="104" priority="5" stopIfTrue="1">
      <formula>$H$52="超过30%"</formula>
    </cfRule>
  </conditionalFormatting>
  <conditionalFormatting sqref="G53">
    <cfRule type="expression" dxfId="103" priority="4" stopIfTrue="1">
      <formula>$H$53="超过20%"</formula>
    </cfRule>
  </conditionalFormatting>
  <conditionalFormatting sqref="I52">
    <cfRule type="expression" dxfId="102" priority="3" stopIfTrue="1">
      <formula>$J$52="超过30%"</formula>
    </cfRule>
  </conditionalFormatting>
  <conditionalFormatting sqref="I53">
    <cfRule type="expression" dxfId="101" priority="2" stopIfTrue="1">
      <formula>$J$53="超过20%"</formula>
    </cfRule>
  </conditionalFormatting>
  <conditionalFormatting sqref="I54">
    <cfRule type="expression" dxfId="10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2332</v>
      </c>
      <c r="B1" s="1934"/>
      <c r="C1" s="2548" t="s">
        <v>2434</v>
      </c>
      <c r="D1" s="240"/>
      <c r="E1" s="240"/>
      <c r="F1" s="240"/>
      <c r="G1" s="1377">
        <f>MATCH(B1,'数据-取费表'!A6:A16,0)+5</f>
        <v>12</v>
      </c>
      <c r="H1" s="1280" t="str">
        <f>IF(ISERROR(FIND("住宅",B1)),"非住宅","住宅")</f>
        <v>非住宅</v>
      </c>
    </row>
    <row r="2" spans="1:8" s="242" customFormat="1" ht="18" customHeight="1">
      <c r="A2" s="243" t="s">
        <v>2333</v>
      </c>
      <c r="B2" s="244">
        <f ca="1">ROUND(IF(D2="——",C52/10000,C52/10000-E2),0)</f>
        <v>29636</v>
      </c>
      <c r="C2" s="241" t="s">
        <v>2334</v>
      </c>
      <c r="D2" s="2542" t="s">
        <v>70</v>
      </c>
      <c r="E2" s="1437" t="e">
        <f ca="1">SUMIF(INDIRECT("'"&amp;G2&amp;"'"&amp;"!A:A"),"承租人权益价值",INDIRECT("'"&amp;G2&amp;"'"&amp;"!c:c"))</f>
        <v>#REF!</v>
      </c>
      <c r="F2" s="2543" t="s">
        <v>2334</v>
      </c>
      <c r="G2" s="2544"/>
    </row>
    <row r="3" spans="1:8" s="242" customFormat="1" ht="18" customHeight="1" thickBot="1">
      <c r="A3" s="245" t="s">
        <v>2335</v>
      </c>
      <c r="B3" s="246">
        <f ca="1">ROUND(B2*10000/(IF(B1="",'数据-汇总表'!E3,INDIRECT("'数据-取费表'!k"&amp;$G$1))),0)</f>
        <v>4402</v>
      </c>
      <c r="C3" s="241" t="s">
        <v>2336</v>
      </c>
      <c r="D3" s="241"/>
      <c r="E3" s="241"/>
      <c r="F3" s="241"/>
      <c r="G3" s="241"/>
    </row>
    <row r="4" spans="1:8" s="250" customFormat="1" ht="15.75">
      <c r="A4" s="247" t="s">
        <v>2337</v>
      </c>
      <c r="B4" s="248"/>
      <c r="C4" s="248"/>
      <c r="D4" s="248"/>
      <c r="E4" s="248"/>
      <c r="F4" s="248"/>
      <c r="G4" s="249"/>
    </row>
    <row r="5" spans="1:8" s="256" customFormat="1" ht="13.5" customHeight="1">
      <c r="A5" s="297" t="s">
        <v>2338</v>
      </c>
      <c r="B5" s="252" t="s">
        <v>2339</v>
      </c>
      <c r="C5" s="253">
        <f ca="1">C6+C7+C8</f>
        <v>16563222</v>
      </c>
      <c r="D5" s="253" t="s">
        <v>2340</v>
      </c>
      <c r="E5" s="254" t="s">
        <v>2341</v>
      </c>
      <c r="F5" s="254" t="s">
        <v>2342</v>
      </c>
      <c r="G5" s="255"/>
    </row>
    <row r="6" spans="1:8" s="256" customFormat="1" ht="13.5" customHeight="1">
      <c r="A6" s="947" t="s">
        <v>2343</v>
      </c>
      <c r="B6" s="257" t="s">
        <v>2344</v>
      </c>
      <c r="C6" s="258"/>
      <c r="D6" s="259"/>
      <c r="E6" s="260"/>
      <c r="F6" s="260"/>
      <c r="G6" s="261"/>
    </row>
    <row r="7" spans="1:8" s="256" customFormat="1" ht="13.5" customHeight="1">
      <c r="A7" s="947" t="s">
        <v>2345</v>
      </c>
      <c r="B7" s="257" t="s">
        <v>2346</v>
      </c>
      <c r="C7" s="262">
        <f>ROUND(C6*F7,0)</f>
        <v>0</v>
      </c>
      <c r="D7" s="262"/>
      <c r="E7" s="260"/>
      <c r="F7" s="263">
        <f>'数据-取费表'!B48+'数据-取费表'!B49</f>
        <v>4.0500000000000001E-2</v>
      </c>
      <c r="G7" s="261"/>
    </row>
    <row r="8" spans="1:8" s="265" customFormat="1">
      <c r="A8" s="947" t="s">
        <v>2347</v>
      </c>
      <c r="B8" s="257" t="s">
        <v>2348</v>
      </c>
      <c r="C8" s="262">
        <f ca="1">IF(G8="已包含在土地购买价格中",0,C9+C10)</f>
        <v>16563222</v>
      </c>
      <c r="D8" s="264"/>
      <c r="E8" s="262"/>
      <c r="F8" s="263"/>
      <c r="G8" s="2545"/>
    </row>
    <row r="9" spans="1:8" s="256" customFormat="1" ht="13.5" customHeight="1">
      <c r="A9" s="948" t="s">
        <v>800</v>
      </c>
      <c r="B9" s="266" t="s">
        <v>2349</v>
      </c>
      <c r="C9" s="267">
        <f ca="1">ROUND(D9*E9,0)</f>
        <v>11354861</v>
      </c>
      <c r="D9" s="1030">
        <f ca="1">IF(B1="",'数据-汇总表'!E5,IF(INDIRECT("'数据-取费表'!c"&amp;$G$1)="住宅",INDIRECT("'数据-取费表'!k"&amp;$G$1),0))</f>
        <v>46157.97</v>
      </c>
      <c r="E9" s="267">
        <f>'数据-取费表'!B27</f>
        <v>246</v>
      </c>
      <c r="F9" s="263"/>
      <c r="G9" s="268"/>
    </row>
    <row r="10" spans="1:8" s="256" customFormat="1" ht="13.5" customHeight="1">
      <c r="A10" s="948" t="s">
        <v>801</v>
      </c>
      <c r="B10" s="266" t="s">
        <v>2351</v>
      </c>
      <c r="C10" s="267">
        <f ca="1">ROUND(D10*E10,0)</f>
        <v>5208361</v>
      </c>
      <c r="D10" s="1030">
        <f ca="1">IF(B1="",'数据-汇总表'!E6,IF(INDIRECT("'数据-取费表'!c"&amp;$G$1)="住宅",INDIRECT("'数据-取费表'!s"&amp;$G$1),INDIRECT("'数据-取费表'!k"&amp;$G$1)+INDIRECT("'数据-取费表'!s"&amp;$G$1)))</f>
        <v>21172.200000000012</v>
      </c>
      <c r="E10" s="267">
        <f>'数据-取费表'!B28</f>
        <v>246</v>
      </c>
      <c r="F10" s="263"/>
      <c r="G10" s="268"/>
    </row>
    <row r="11" spans="1:8" s="256" customFormat="1" ht="13.5" hidden="1" customHeight="1">
      <c r="A11" s="269" t="s">
        <v>7</v>
      </c>
      <c r="B11" s="257" t="s">
        <v>2352</v>
      </c>
      <c r="C11" s="253"/>
      <c r="D11" s="1032"/>
      <c r="E11" s="260"/>
      <c r="F11" s="260"/>
      <c r="G11" s="261"/>
    </row>
    <row r="12" spans="1:8" s="256" customFormat="1" ht="13.5" hidden="1" customHeight="1">
      <c r="A12" s="269" t="s">
        <v>8</v>
      </c>
      <c r="B12" s="257" t="s">
        <v>2435</v>
      </c>
      <c r="C12" s="253">
        <v>0</v>
      </c>
      <c r="D12" s="1032"/>
      <c r="E12" s="270"/>
      <c r="F12" s="263">
        <v>3.0499999999999999E-2</v>
      </c>
      <c r="G12" s="261"/>
    </row>
    <row r="13" spans="1:8" s="256" customFormat="1" ht="13.5" hidden="1" customHeight="1">
      <c r="A13" s="269" t="s">
        <v>9</v>
      </c>
      <c r="B13" s="257" t="s">
        <v>2436</v>
      </c>
      <c r="C13" s="253"/>
      <c r="D13" s="1032"/>
      <c r="E13" s="260"/>
      <c r="F13" s="260"/>
      <c r="G13" s="261"/>
    </row>
    <row r="14" spans="1:8" s="256" customFormat="1" ht="13.5" hidden="1" customHeight="1">
      <c r="A14" s="269" t="s">
        <v>10</v>
      </c>
      <c r="B14" s="257" t="s">
        <v>2348</v>
      </c>
      <c r="C14" s="253"/>
      <c r="D14" s="1032"/>
      <c r="E14" s="260"/>
      <c r="F14" s="260"/>
      <c r="G14" s="261" t="s">
        <v>2437</v>
      </c>
    </row>
    <row r="15" spans="1:8" s="256" customFormat="1" ht="13.5" hidden="1" customHeight="1">
      <c r="A15" s="269" t="s">
        <v>11</v>
      </c>
      <c r="B15" s="257" t="s">
        <v>2438</v>
      </c>
      <c r="C15" s="262"/>
      <c r="D15" s="1032"/>
      <c r="E15" s="260"/>
      <c r="F15" s="260"/>
      <c r="G15" s="261" t="s">
        <v>2439</v>
      </c>
    </row>
    <row r="16" spans="1:8" s="256" customFormat="1" ht="13.5" hidden="1" customHeight="1">
      <c r="A16" s="269" t="s">
        <v>12</v>
      </c>
      <c r="B16" s="257" t="s">
        <v>2348</v>
      </c>
      <c r="C16" s="262"/>
      <c r="D16" s="1032"/>
      <c r="E16" s="260"/>
      <c r="F16" s="260"/>
      <c r="G16" s="261"/>
    </row>
    <row r="17" spans="1:7" s="256" customFormat="1" ht="13.5" hidden="1" customHeight="1">
      <c r="A17" s="269" t="s">
        <v>13</v>
      </c>
      <c r="B17" s="257" t="s">
        <v>2440</v>
      </c>
      <c r="C17" s="271"/>
      <c r="D17" s="1033"/>
      <c r="E17" s="271"/>
      <c r="F17" s="271"/>
      <c r="G17" s="261" t="s">
        <v>2439</v>
      </c>
    </row>
    <row r="18" spans="1:7" s="256" customFormat="1" ht="13.5" hidden="1" customHeight="1">
      <c r="A18" s="269" t="s">
        <v>14</v>
      </c>
      <c r="B18" s="257" t="s">
        <v>2441</v>
      </c>
      <c r="C18" s="262">
        <v>0</v>
      </c>
      <c r="D18" s="1032"/>
      <c r="E18" s="260"/>
      <c r="F18" s="263">
        <v>3.0499999999999999E-2</v>
      </c>
      <c r="G18" s="261" t="s">
        <v>2442</v>
      </c>
    </row>
    <row r="19" spans="1:7" s="265" customFormat="1" ht="13.5" customHeight="1">
      <c r="A19" s="297" t="s">
        <v>2443</v>
      </c>
      <c r="B19" s="252" t="s">
        <v>2444</v>
      </c>
      <c r="C19" s="253">
        <f ca="1">IF(G19="已包含在土地取得成本中","0",ROUND(D19*E19,0))</f>
        <v>6733017</v>
      </c>
      <c r="D19" s="1034">
        <f ca="1">D9+D10</f>
        <v>67330.170000000013</v>
      </c>
      <c r="E19" s="253">
        <f>'数据-取费表'!B31</f>
        <v>100</v>
      </c>
      <c r="F19" s="273"/>
      <c r="G19" s="2545"/>
    </row>
    <row r="20" spans="1:7" s="256" customFormat="1" ht="13.5" customHeight="1">
      <c r="A20" s="297" t="s">
        <v>2445</v>
      </c>
      <c r="B20" s="252" t="s">
        <v>2446</v>
      </c>
      <c r="C20" s="274">
        <f ca="1">ROUND((C5+C19)*F20,0)</f>
        <v>349444</v>
      </c>
      <c r="D20" s="274"/>
      <c r="E20" s="274"/>
      <c r="F20" s="275">
        <f>'数据-取费表'!B37</f>
        <v>1.4999999999999999E-2</v>
      </c>
      <c r="G20" s="276" t="s">
        <v>2447</v>
      </c>
    </row>
    <row r="21" spans="1:7" s="256" customFormat="1" ht="13.5" customHeight="1">
      <c r="A21" s="297" t="s">
        <v>2448</v>
      </c>
      <c r="B21" s="252" t="s">
        <v>2449</v>
      </c>
      <c r="C21" s="277">
        <f>F21</f>
        <v>2.5000000000000001E-2</v>
      </c>
      <c r="D21" s="278" t="s">
        <v>2450</v>
      </c>
      <c r="E21" s="274"/>
      <c r="F21" s="275">
        <f>'数据-取费表'!B38</f>
        <v>2.5000000000000001E-2</v>
      </c>
      <c r="G21" s="276" t="s">
        <v>2451</v>
      </c>
    </row>
    <row r="22" spans="1:7" s="256" customFormat="1" ht="13.5" customHeight="1">
      <c r="A22" s="297" t="s">
        <v>2452</v>
      </c>
      <c r="B22" s="252" t="s">
        <v>2453</v>
      </c>
      <c r="C22" s="1378">
        <f ca="1">ROUND(SUM(C23:C25),0)</f>
        <v>2886628</v>
      </c>
      <c r="D22" s="277">
        <f ca="1">C26</f>
        <v>1.5E-3</v>
      </c>
      <c r="E22" s="278" t="s">
        <v>2450</v>
      </c>
      <c r="F22" s="279">
        <f ca="1">'数据-取费表'!B40</f>
        <v>4.7500000000000001E-2</v>
      </c>
      <c r="G22" s="276" t="str">
        <f>IF('数据-取费表'!B22&lt;=1,"单利计息","复利计息")</f>
        <v>复利计息</v>
      </c>
    </row>
    <row r="23" spans="1:7" s="256" customFormat="1" ht="13.5" customHeight="1">
      <c r="A23" s="949" t="s">
        <v>2343</v>
      </c>
      <c r="B23" s="257" t="s">
        <v>2454</v>
      </c>
      <c r="C23" s="1379">
        <f ca="1">ROUND(IF('数据-取费表'!B22&lt;=1,C5*F22*'数据-取费表'!B22,C5*(POWER((1+F22),'数据-取费表'!B22)-1)),0)</f>
        <v>2037504</v>
      </c>
      <c r="D23" s="280"/>
      <c r="E23" s="280"/>
      <c r="F23" s="281"/>
      <c r="G23" s="282" t="s">
        <v>2455</v>
      </c>
    </row>
    <row r="24" spans="1:7" s="256" customFormat="1" ht="13.5" customHeight="1">
      <c r="A24" s="949" t="s">
        <v>2345</v>
      </c>
      <c r="B24" s="257" t="s">
        <v>2456</v>
      </c>
      <c r="C24" s="1379">
        <f ca="1">ROUND(IF('数据-取费表'!B22&lt;=1,C19*F22*('数据-取费表'!B19/2+'数据-取费表'!B20),C19*(POWER((1+F22),('数据-取费表'!B19/2+'数据-取费表'!B20))-1)),0)</f>
        <v>828254</v>
      </c>
      <c r="D24" s="280"/>
      <c r="E24" s="280"/>
      <c r="F24" s="281"/>
      <c r="G24" s="282" t="s">
        <v>2457</v>
      </c>
    </row>
    <row r="25" spans="1:7" s="256" customFormat="1" ht="24">
      <c r="A25" s="949" t="s">
        <v>2347</v>
      </c>
      <c r="B25" s="257" t="s">
        <v>2458</v>
      </c>
      <c r="C25" s="1379">
        <f ca="1">ROUND(IF('数据-取费表'!B22&lt;=1,C20*F22*'数据-取费表'!B22/2,C20*(POWER((1+F22),'数据-取费表'!B22/2)-1)),0)</f>
        <v>20870</v>
      </c>
      <c r="D25" s="280"/>
      <c r="E25" s="283"/>
      <c r="F25" s="281"/>
      <c r="G25" s="284" t="s">
        <v>2459</v>
      </c>
    </row>
    <row r="26" spans="1:7" s="256" customFormat="1">
      <c r="A26" s="949" t="s">
        <v>795</v>
      </c>
      <c r="B26" s="257" t="s">
        <v>2382</v>
      </c>
      <c r="C26" s="280">
        <f ca="1">ROUND(IF('数据-取费表'!B22&lt;=1,F21*F22*'数据-取费表'!B22/2,F21*(POWER((1+F22),'数据-取费表'!B22/2)-1)),4)</f>
        <v>1.5E-3</v>
      </c>
      <c r="D26" s="280"/>
      <c r="E26" s="283"/>
      <c r="F26" s="281"/>
      <c r="G26" s="285"/>
    </row>
    <row r="27" spans="1:7" s="256" customFormat="1" ht="24.75">
      <c r="A27" s="297" t="s">
        <v>2383</v>
      </c>
      <c r="B27" s="286" t="s">
        <v>2384</v>
      </c>
      <c r="C27" s="287">
        <f ca="1">C28</f>
        <v>4019766</v>
      </c>
      <c r="D27" s="277">
        <f ca="1">C29</f>
        <v>4.3E-3</v>
      </c>
      <c r="E27" s="278" t="s">
        <v>2385</v>
      </c>
      <c r="F27" s="288">
        <f ca="1">IF(B1="",'数据-取费表'!Q16,INDIRECT("'数据-取费表'!q"&amp;$G$1))</f>
        <v>0.17</v>
      </c>
      <c r="G27" s="289" t="s">
        <v>2386</v>
      </c>
    </row>
    <row r="28" spans="1:7" s="256" customFormat="1" ht="13.5" customHeight="1">
      <c r="A28" s="949" t="s">
        <v>791</v>
      </c>
      <c r="B28" s="290" t="s">
        <v>2387</v>
      </c>
      <c r="C28" s="291">
        <f ca="1">ROUND((C5+C19+C20)*F27,0)</f>
        <v>4019766</v>
      </c>
      <c r="D28" s="277"/>
      <c r="E28" s="278"/>
      <c r="F28" s="288"/>
      <c r="G28" s="289"/>
    </row>
    <row r="29" spans="1:7" s="256" customFormat="1" ht="13.5" customHeight="1">
      <c r="A29" s="949" t="s">
        <v>792</v>
      </c>
      <c r="B29" s="290" t="s">
        <v>2388</v>
      </c>
      <c r="C29" s="280">
        <f ca="1">ROUND(C21*F27,4)</f>
        <v>4.3E-3</v>
      </c>
      <c r="D29" s="277"/>
      <c r="E29" s="278"/>
      <c r="F29" s="288"/>
      <c r="G29" s="289"/>
    </row>
    <row r="30" spans="1:7" s="256" customFormat="1" ht="13.5" customHeight="1">
      <c r="A30" s="297" t="s">
        <v>2389</v>
      </c>
      <c r="B30" s="252" t="s">
        <v>2390</v>
      </c>
      <c r="C30" s="277">
        <f>ROUND(F30/(1+'数据-取费表'!C42),4)</f>
        <v>5.33E-2</v>
      </c>
      <c r="D30" s="278" t="s">
        <v>2385</v>
      </c>
      <c r="E30" s="283"/>
      <c r="F30" s="279">
        <f>'数据-取费表'!B41</f>
        <v>5.6000000000000001E-2</v>
      </c>
      <c r="G30" s="276" t="s">
        <v>2391</v>
      </c>
    </row>
    <row r="31" spans="1:7" ht="16.5" customHeight="1">
      <c r="A31" s="251">
        <v>1</v>
      </c>
      <c r="B31" s="252" t="s">
        <v>2392</v>
      </c>
      <c r="C31" s="253">
        <f ca="1">ROUND((C5+C19+C20+C22+C27)/(1-C21-D22-D27-C30),0)</f>
        <v>33357437</v>
      </c>
      <c r="D31" s="272"/>
      <c r="E31" s="253"/>
      <c r="F31" s="292"/>
      <c r="G31" s="276" t="s">
        <v>2393</v>
      </c>
    </row>
    <row r="32" spans="1:7" s="250" customFormat="1" ht="15.75">
      <c r="A32" s="294" t="s">
        <v>2460</v>
      </c>
      <c r="B32" s="295"/>
      <c r="C32" s="295"/>
      <c r="D32" s="295"/>
      <c r="E32" s="295"/>
      <c r="F32" s="295"/>
      <c r="G32" s="296"/>
    </row>
    <row r="33" spans="1:7" s="256" customFormat="1" ht="13.5" customHeight="1">
      <c r="A33" s="297" t="s">
        <v>782</v>
      </c>
      <c r="B33" s="252" t="s">
        <v>2461</v>
      </c>
      <c r="C33" s="298">
        <f ca="1">SUM(C34:C38)</f>
        <v>192988152</v>
      </c>
      <c r="D33" s="274"/>
      <c r="E33" s="254"/>
      <c r="F33" s="283"/>
      <c r="G33" s="276"/>
    </row>
    <row r="34" spans="1:7" s="300" customFormat="1" ht="13.5" customHeight="1">
      <c r="A34" s="949" t="s">
        <v>791</v>
      </c>
      <c r="B34" s="257" t="s">
        <v>2396</v>
      </c>
      <c r="C34" s="262">
        <f ca="1">ROUND(IF(B1="",SUMPRODUCT('数据-取费表'!K6:K14,'数据-取费表'!L6:L14),INDIRECT("'数据-取费表'!l"&amp;$G$1)*INDIRECT("'数据-取费表'!k"&amp;$G$1)+'数据-取费表'!L14*INDIRECT("'数据-取费表'!S"&amp;$G$1)),0)</f>
        <v>165987857</v>
      </c>
      <c r="D34" s="259"/>
      <c r="E34" s="262"/>
      <c r="F34" s="299"/>
      <c r="G34" s="261"/>
    </row>
    <row r="35" spans="1:7" ht="13.5" customHeight="1">
      <c r="A35" s="949" t="s">
        <v>796</v>
      </c>
      <c r="B35" s="257" t="s">
        <v>2398</v>
      </c>
      <c r="C35" s="262">
        <f ca="1">ROUND(C34*F35,0)</f>
        <v>4979636</v>
      </c>
      <c r="D35" s="262"/>
      <c r="E35" s="262"/>
      <c r="F35" s="301">
        <f>'数据-取费表'!B33</f>
        <v>0.03</v>
      </c>
      <c r="G35" s="261" t="s">
        <v>2399</v>
      </c>
    </row>
    <row r="36" spans="1:7" ht="24">
      <c r="A36" s="949" t="s">
        <v>797</v>
      </c>
      <c r="B36" s="257" t="s">
        <v>2400</v>
      </c>
      <c r="C36" s="262">
        <f ca="1">ROUND(IF(B1="",SUM('数据-取费表'!AP6:AP13)*F36,IF(INDIRECT("'数据-取费表'!c"&amp;$G$1)="住宅",INDIRECT("'数据-取费表'!k"&amp;$G$1)*INDIRECT("'数据-取费表'!l"&amp;$G$1)*F36,0)),0)</f>
        <v>6064807</v>
      </c>
      <c r="D36" s="262"/>
      <c r="E36" s="262"/>
      <c r="F36" s="301">
        <f>'数据-取费表'!B34</f>
        <v>0.05</v>
      </c>
      <c r="G36" s="302" t="s">
        <v>2401</v>
      </c>
    </row>
    <row r="37" spans="1:7" s="300" customFormat="1" ht="13.5" customHeight="1">
      <c r="A37" s="949" t="s">
        <v>798</v>
      </c>
      <c r="B37" s="257" t="s">
        <v>2402</v>
      </c>
      <c r="C37" s="291">
        <f ca="1">ROUND(E37*D37,0)</f>
        <v>13466034</v>
      </c>
      <c r="D37" s="259">
        <f ca="1">D19</f>
        <v>67330.170000000013</v>
      </c>
      <c r="E37" s="291">
        <f>'数据-取费表'!B35</f>
        <v>200</v>
      </c>
      <c r="F37" s="301"/>
      <c r="G37" s="303"/>
    </row>
    <row r="38" spans="1:7" ht="13.5" customHeight="1">
      <c r="A38" s="949" t="s">
        <v>799</v>
      </c>
      <c r="B38" s="257" t="s">
        <v>2404</v>
      </c>
      <c r="C38" s="262">
        <f ca="1">ROUND(C34*F38,0)</f>
        <v>2489818</v>
      </c>
      <c r="D38" s="262"/>
      <c r="E38" s="262"/>
      <c r="F38" s="301">
        <f>'数据-取费表'!B36</f>
        <v>1.4999999999999999E-2</v>
      </c>
      <c r="G38" s="261" t="s">
        <v>2399</v>
      </c>
    </row>
    <row r="39" spans="1:7" s="256" customFormat="1" ht="13.5" customHeight="1">
      <c r="A39" s="297" t="s">
        <v>2405</v>
      </c>
      <c r="B39" s="252" t="s">
        <v>2406</v>
      </c>
      <c r="C39" s="274">
        <f ca="1">ROUND(C33*F20,0)</f>
        <v>2894822</v>
      </c>
      <c r="D39" s="274"/>
      <c r="E39" s="274"/>
      <c r="F39" s="275"/>
      <c r="G39" s="276" t="s">
        <v>2407</v>
      </c>
    </row>
    <row r="40" spans="1:7" s="256" customFormat="1" ht="13.5" customHeight="1">
      <c r="A40" s="297" t="s">
        <v>2408</v>
      </c>
      <c r="B40" s="252" t="s">
        <v>2409</v>
      </c>
      <c r="C40" s="1725">
        <f>F21</f>
        <v>2.5000000000000001E-2</v>
      </c>
      <c r="D40" s="278" t="s">
        <v>2410</v>
      </c>
      <c r="E40" s="274"/>
      <c r="F40" s="275"/>
      <c r="G40" s="276" t="s">
        <v>2411</v>
      </c>
    </row>
    <row r="41" spans="1:7" s="256" customFormat="1" ht="13.5" customHeight="1">
      <c r="A41" s="297" t="s">
        <v>2412</v>
      </c>
      <c r="B41" s="252" t="s">
        <v>2413</v>
      </c>
      <c r="C41" s="274">
        <f ca="1">ROUND(SUM(C42:C43),0)</f>
        <v>11698805</v>
      </c>
      <c r="D41" s="277">
        <f ca="1">C44</f>
        <v>1.5E-3</v>
      </c>
      <c r="E41" s="278" t="s">
        <v>2410</v>
      </c>
      <c r="F41" s="279"/>
      <c r="G41" s="276" t="str">
        <f>IF('数据-取费表'!B22&lt;=1,"单利计息","复利计息")</f>
        <v>复利计息</v>
      </c>
    </row>
    <row r="42" spans="1:7" ht="13.5" customHeight="1">
      <c r="A42" s="949" t="s">
        <v>791</v>
      </c>
      <c r="B42" s="257" t="s">
        <v>2414</v>
      </c>
      <c r="C42" s="280">
        <f ca="1">ROUND(IF('数据-取费表'!B22&lt;=1,C33*F22*'数据-取费表'!B20/2,C33*(POWER((1+F22),'数据-取费表'!B20/2)-1)),0)</f>
        <v>11525916</v>
      </c>
      <c r="D42" s="280"/>
      <c r="E42" s="280"/>
      <c r="F42" s="281"/>
      <c r="G42" s="3178" t="s">
        <v>2462</v>
      </c>
    </row>
    <row r="43" spans="1:7" ht="13.5" customHeight="1">
      <c r="A43" s="949" t="s">
        <v>792</v>
      </c>
      <c r="B43" s="257" t="s">
        <v>2416</v>
      </c>
      <c r="C43" s="280">
        <f ca="1">ROUND(IF('数据-取费表'!B22&lt;=1,C39*F22*'数据-取费表'!B20/2,C39*(POWER((1+F22),'数据-取费表'!B20/2)-1)),0)</f>
        <v>172889</v>
      </c>
      <c r="D43" s="280"/>
      <c r="E43" s="280"/>
      <c r="F43" s="281"/>
      <c r="G43" s="3179"/>
    </row>
    <row r="44" spans="1:7" ht="13.5" customHeight="1">
      <c r="A44" s="949" t="s">
        <v>793</v>
      </c>
      <c r="B44" s="257" t="s">
        <v>2417</v>
      </c>
      <c r="C44" s="280">
        <f ca="1">ROUND(IF('数据-取费表'!B22&lt;=1,C40*F22*'数据-取费表'!B20/2,C40*(POWER((1+F22),'数据-取费表'!B20/2)-1)),4)</f>
        <v>1.5E-3</v>
      </c>
      <c r="D44" s="280"/>
      <c r="E44" s="280"/>
      <c r="F44" s="281"/>
      <c r="G44" s="3180"/>
    </row>
    <row r="45" spans="1:7" s="256" customFormat="1" ht="13.5" customHeight="1">
      <c r="A45" s="297" t="s">
        <v>2418</v>
      </c>
      <c r="B45" s="286" t="s">
        <v>2384</v>
      </c>
      <c r="C45" s="287">
        <f ca="1">C46</f>
        <v>33300106</v>
      </c>
      <c r="D45" s="277">
        <f ca="1">C47</f>
        <v>4.3E-3</v>
      </c>
      <c r="E45" s="278" t="s">
        <v>2410</v>
      </c>
      <c r="F45" s="288"/>
      <c r="G45" s="289" t="s">
        <v>2419</v>
      </c>
    </row>
    <row r="46" spans="1:7" s="256" customFormat="1" ht="13.5" customHeight="1">
      <c r="A46" s="949" t="s">
        <v>791</v>
      </c>
      <c r="B46" s="290" t="s">
        <v>2420</v>
      </c>
      <c r="C46" s="291">
        <f ca="1">ROUND((C33+C39)*F27,0)</f>
        <v>33300106</v>
      </c>
      <c r="D46" s="305"/>
      <c r="E46" s="278"/>
      <c r="F46" s="288"/>
      <c r="G46" s="289"/>
    </row>
    <row r="47" spans="1:7" s="256" customFormat="1" ht="13.5" customHeight="1">
      <c r="A47" s="949" t="s">
        <v>792</v>
      </c>
      <c r="B47" s="290" t="s">
        <v>2421</v>
      </c>
      <c r="C47" s="280">
        <f ca="1">ROUND(C40*F27,4)</f>
        <v>4.3E-3</v>
      </c>
      <c r="D47" s="305"/>
      <c r="E47" s="278"/>
      <c r="F47" s="288"/>
      <c r="G47" s="289"/>
    </row>
    <row r="48" spans="1:7" s="256" customFormat="1" ht="13.5" customHeight="1">
      <c r="A48" s="297" t="s">
        <v>2383</v>
      </c>
      <c r="B48" s="252" t="s">
        <v>2422</v>
      </c>
      <c r="C48" s="304">
        <f>ROUND(F30/(1+'数据-取费表'!C42),4)</f>
        <v>5.33E-2</v>
      </c>
      <c r="D48" s="278" t="s">
        <v>2410</v>
      </c>
      <c r="E48" s="274"/>
      <c r="F48" s="279"/>
      <c r="G48" s="276" t="s">
        <v>2423</v>
      </c>
    </row>
    <row r="49" spans="1:7" ht="16.5" customHeight="1">
      <c r="A49" s="297" t="s">
        <v>2389</v>
      </c>
      <c r="B49" s="252" t="s">
        <v>2463</v>
      </c>
      <c r="C49" s="274">
        <f ca="1">ROUND((C33+C39+C41+C45)/(1-C40-D41-D45-C48),0)</f>
        <v>263000202</v>
      </c>
      <c r="D49" s="274"/>
      <c r="E49" s="274"/>
      <c r="F49" s="306"/>
      <c r="G49" s="276" t="s">
        <v>2425</v>
      </c>
    </row>
    <row r="50" spans="1:7" s="300" customFormat="1">
      <c r="A50" s="297" t="s">
        <v>2426</v>
      </c>
      <c r="B50" s="252" t="s">
        <v>2427</v>
      </c>
      <c r="C50" s="274"/>
      <c r="D50" s="274"/>
      <c r="E50" s="274"/>
      <c r="F50" s="306">
        <f>IF('数据-取费表'!B24=0,'数据-取费表'!N16,1)</f>
        <v>1</v>
      </c>
      <c r="G50" s="289"/>
    </row>
    <row r="51" spans="1:7" ht="16.5" customHeight="1">
      <c r="A51" s="297" t="s">
        <v>2429</v>
      </c>
      <c r="B51" s="252" t="s">
        <v>2464</v>
      </c>
      <c r="C51" s="274">
        <f ca="1">ROUND(C49*F50,0)</f>
        <v>263000202</v>
      </c>
      <c r="D51" s="274"/>
      <c r="E51" s="274"/>
      <c r="F51" s="306"/>
      <c r="G51" s="276" t="s">
        <v>2431</v>
      </c>
    </row>
    <row r="52" spans="1:7" s="250" customFormat="1" ht="16.5" thickBot="1">
      <c r="A52" s="307" t="s">
        <v>2432</v>
      </c>
      <c r="B52" s="308"/>
      <c r="C52" s="309">
        <f ca="1">C31+C51</f>
        <v>296357639</v>
      </c>
      <c r="D52" s="308"/>
      <c r="E52" s="308"/>
      <c r="F52" s="308"/>
      <c r="G52" s="310"/>
    </row>
    <row r="55" spans="1:7" ht="15">
      <c r="B55" s="312" t="s">
        <v>2433</v>
      </c>
      <c r="C55" s="313"/>
    </row>
    <row r="56" spans="1:7">
      <c r="B56" s="315" t="s">
        <v>1515</v>
      </c>
      <c r="C56" s="317">
        <f ca="1">1-C57</f>
        <v>0.11299999999999999</v>
      </c>
    </row>
    <row r="57" spans="1:7">
      <c r="B57" s="315" t="s">
        <v>1516</v>
      </c>
      <c r="C57" s="316">
        <f ca="1">ROUND(C51/C52,3)</f>
        <v>0.88700000000000001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2" customWidth="1"/>
    <col min="12" max="12" width="16.375" style="300" customWidth="1"/>
    <col min="13" max="13" width="13" style="300"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0"/>
  </cols>
  <sheetData>
    <row r="1" spans="1:37" s="335" customFormat="1" ht="21">
      <c r="A1" s="1830" t="s">
        <v>1591</v>
      </c>
      <c r="B1" s="779"/>
      <c r="C1" s="1834"/>
      <c r="D1" s="1817"/>
      <c r="E1" s="1818" t="s">
        <v>1388</v>
      </c>
      <c r="F1" s="1281" t="b">
        <f>J53</f>
        <v>0</v>
      </c>
      <c r="G1" s="1833">
        <f>MATCH(C1,'数据-取费表'!A6:A16,0)+5</f>
        <v>12</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1592</v>
      </c>
      <c r="B2" s="1841" t="e">
        <f ca="1">ROUND(D2/10000,0)</f>
        <v>#DIV/0!</v>
      </c>
      <c r="C2" s="1842" t="s">
        <v>1593</v>
      </c>
      <c r="D2" s="1935" t="e">
        <f ca="1">C40+J29+L46</f>
        <v>#DIV/0!</v>
      </c>
      <c r="E2" s="1843" t="s">
        <v>1594</v>
      </c>
      <c r="F2" s="1844"/>
      <c r="G2" s="1845"/>
      <c r="H2" s="1837"/>
      <c r="I2" s="1837"/>
      <c r="J2" s="1837"/>
      <c r="K2" s="1838"/>
      <c r="L2" s="1837"/>
      <c r="M2" s="1837"/>
    </row>
    <row r="3" spans="1:37" ht="18" customHeight="1" thickBot="1">
      <c r="A3" s="1846" t="s">
        <v>1595</v>
      </c>
      <c r="B3" s="1847">
        <f ca="1">IF(ISERROR(D2/F43),0,ROUND(D2/F43,0))</f>
        <v>0</v>
      </c>
      <c r="C3" s="1842" t="s">
        <v>1596</v>
      </c>
      <c r="D3" s="1842"/>
      <c r="E3" s="1843"/>
      <c r="F3" s="1844"/>
      <c r="G3" s="1845"/>
      <c r="H3" s="741" t="s">
        <v>1590</v>
      </c>
      <c r="I3" s="1837"/>
      <c r="J3" s="1837"/>
      <c r="K3" s="1838"/>
      <c r="L3" s="1837"/>
      <c r="M3" s="1837"/>
    </row>
    <row r="4" spans="1:37" ht="18" customHeight="1">
      <c r="A4" s="338" t="s">
        <v>1597</v>
      </c>
      <c r="B4" s="339" t="s">
        <v>1598</v>
      </c>
      <c r="C4" s="339" t="s">
        <v>1599</v>
      </c>
      <c r="D4" s="339" t="s">
        <v>1600</v>
      </c>
      <c r="E4" s="340" t="s">
        <v>1601</v>
      </c>
      <c r="F4" s="341"/>
      <c r="G4" s="1848"/>
      <c r="H4" s="338" t="s">
        <v>1597</v>
      </c>
      <c r="I4" s="339" t="s">
        <v>1598</v>
      </c>
      <c r="J4" s="339" t="s">
        <v>1599</v>
      </c>
      <c r="K4" s="339" t="s">
        <v>1600</v>
      </c>
      <c r="L4" s="340" t="s">
        <v>1601</v>
      </c>
      <c r="M4" s="341"/>
    </row>
    <row r="5" spans="1:37" ht="18" customHeight="1">
      <c r="A5" s="342">
        <v>1</v>
      </c>
      <c r="B5" s="343" t="s">
        <v>1602</v>
      </c>
      <c r="C5" s="1290">
        <f ca="1">C6+C10+C12</f>
        <v>0</v>
      </c>
      <c r="D5" s="1819" t="s">
        <v>1603</v>
      </c>
      <c r="E5" s="1291"/>
      <c r="F5" s="1292"/>
      <c r="G5" s="1848"/>
      <c r="H5" s="342">
        <v>1</v>
      </c>
      <c r="I5" s="343" t="s">
        <v>1602</v>
      </c>
      <c r="J5" s="1290">
        <f ca="1">J6+J10+J12</f>
        <v>0</v>
      </c>
      <c r="K5" s="1819" t="s">
        <v>1603</v>
      </c>
      <c r="L5" s="1291"/>
      <c r="M5" s="1292"/>
    </row>
    <row r="6" spans="1:37" ht="18" customHeight="1">
      <c r="A6" s="1289" t="s">
        <v>1035</v>
      </c>
      <c r="B6" s="3226" t="s">
        <v>1404</v>
      </c>
      <c r="C6" s="1294">
        <f ca="1">ROUND(F6*F8*F7*(1-F9),0)</f>
        <v>0</v>
      </c>
      <c r="D6" s="162" t="s">
        <v>3034</v>
      </c>
      <c r="E6" s="345" t="s">
        <v>1406</v>
      </c>
      <c r="F6" s="346">
        <f ca="1">INDIRECT("'数据-取费表'!u"&amp;$G$1)</f>
        <v>0</v>
      </c>
      <c r="G6" s="1848"/>
      <c r="H6" s="1289" t="s">
        <v>1035</v>
      </c>
      <c r="I6" s="3226" t="s">
        <v>1404</v>
      </c>
      <c r="J6" s="344">
        <f ca="1">ROUND(M6*M8*M7*(1-M9),0)</f>
        <v>0</v>
      </c>
      <c r="K6" s="1831" t="s">
        <v>3037</v>
      </c>
      <c r="L6" s="345" t="s">
        <v>1406</v>
      </c>
      <c r="M6" s="346">
        <f ca="1">INDIRECT("'数据-取费表'!z"&amp;$G$1)</f>
        <v>0</v>
      </c>
    </row>
    <row r="7" spans="1:37" ht="18" customHeight="1">
      <c r="A7" s="1293"/>
      <c r="B7" s="3227"/>
      <c r="C7" s="1295"/>
      <c r="D7" s="350"/>
      <c r="E7" s="1296" t="s">
        <v>1407</v>
      </c>
      <c r="F7" s="346">
        <f ca="1">IF(INDIRECT("'数据-取费表'!ah"&amp;$G$1)="",INDIRECT("'数据-取费表'!k"&amp;$G$1),INDIRECT("'数据-取费表'!ah"&amp;$G$1))</f>
        <v>0</v>
      </c>
      <c r="G7" s="1848"/>
      <c r="H7" s="347"/>
      <c r="I7" s="3227"/>
      <c r="J7" s="349"/>
      <c r="K7" s="350"/>
      <c r="L7" s="345" t="s">
        <v>1407</v>
      </c>
      <c r="M7" s="346">
        <f ca="1">F7</f>
        <v>0</v>
      </c>
    </row>
    <row r="8" spans="1:37" ht="18" customHeight="1">
      <c r="A8" s="347"/>
      <c r="B8" s="3227"/>
      <c r="C8" s="349"/>
      <c r="D8" s="350"/>
      <c r="E8" s="345" t="s">
        <v>1408</v>
      </c>
      <c r="F8" s="346">
        <f ca="1">INDIRECT("'数据-取费表'!ai"&amp;$G$1)</f>
        <v>0</v>
      </c>
      <c r="G8" s="1848"/>
      <c r="H8" s="347"/>
      <c r="I8" s="3227"/>
      <c r="J8" s="349"/>
      <c r="K8" s="350"/>
      <c r="L8" s="345" t="s">
        <v>1408</v>
      </c>
      <c r="M8" s="346">
        <f ca="1">INDIRECT("'数据-取费表'!ai"&amp;$G$1)</f>
        <v>0</v>
      </c>
    </row>
    <row r="9" spans="1:37" ht="18" customHeight="1">
      <c r="A9" s="347"/>
      <c r="B9" s="3228"/>
      <c r="C9" s="349"/>
      <c r="D9" s="350"/>
      <c r="E9" s="345" t="s">
        <v>1409</v>
      </c>
      <c r="F9" s="355">
        <f ca="1">INDIRECT("'数据-取费表'!w"&amp;$G$1)</f>
        <v>0</v>
      </c>
      <c r="G9" s="1848"/>
      <c r="H9" s="347"/>
      <c r="I9" s="3228"/>
      <c r="J9" s="349"/>
      <c r="K9" s="350"/>
      <c r="L9" s="356" t="s">
        <v>1409</v>
      </c>
      <c r="M9" s="357">
        <f ca="1">INDIRECT("'数据-取费表'!ab"&amp;$G$1)</f>
        <v>0</v>
      </c>
    </row>
    <row r="10" spans="1:37" ht="18" customHeight="1">
      <c r="A10" s="1289" t="s">
        <v>1039</v>
      </c>
      <c r="B10" s="1820" t="s">
        <v>1410</v>
      </c>
      <c r="C10" s="359">
        <f ca="1">ROUND(IF(F10="押一",F6*F8*F7/12*F11,IF(F10="押二",F6*F8*F7/12*2*F11,IF(F10="押三",F6*F8*F7/12*3*F11,C11*F11))),0)</f>
        <v>0</v>
      </c>
      <c r="D10" s="1821" t="s">
        <v>3035</v>
      </c>
      <c r="E10" s="356" t="s">
        <v>1412</v>
      </c>
      <c r="F10" s="1364"/>
      <c r="G10" s="1848"/>
      <c r="H10" s="1289" t="s">
        <v>1039</v>
      </c>
      <c r="I10" s="1820" t="s">
        <v>1410</v>
      </c>
      <c r="J10" s="344">
        <f ca="1">ROUND(IF(M10="押一",M6*M8*M7/12*M11,IF(M10="押二",M6*M8*M7/12*2*M11,IF(M10="押三",M6*M8*M7/12*3*M11,J11*M11))),0)</f>
        <v>0</v>
      </c>
      <c r="K10" s="1832" t="s">
        <v>3036</v>
      </c>
      <c r="L10" s="356" t="s">
        <v>1412</v>
      </c>
      <c r="M10" s="1364"/>
    </row>
    <row r="11" spans="1:37" ht="18" customHeight="1">
      <c r="A11" s="351"/>
      <c r="B11" s="1822" t="s">
        <v>1604</v>
      </c>
      <c r="C11" s="1176"/>
      <c r="D11" s="350"/>
      <c r="E11" s="356" t="s">
        <v>1414</v>
      </c>
      <c r="F11" s="357">
        <f ca="1">'数据-取费表'!B39</f>
        <v>1.4999999999999999E-2</v>
      </c>
      <c r="G11" s="1848"/>
      <c r="H11" s="1297"/>
      <c r="I11" s="1822" t="s">
        <v>1605</v>
      </c>
      <c r="J11" s="1176"/>
      <c r="K11" s="745"/>
      <c r="L11" s="356" t="s">
        <v>1414</v>
      </c>
      <c r="M11" s="1054">
        <f ca="1">'数据-取费表'!B39</f>
        <v>1.4999999999999999E-2</v>
      </c>
    </row>
    <row r="12" spans="1:37" ht="18" customHeight="1" thickBot="1">
      <c r="A12" s="1331" t="s">
        <v>1075</v>
      </c>
      <c r="B12" s="1824" t="s">
        <v>1415</v>
      </c>
      <c r="C12" s="1332"/>
      <c r="D12" s="1333"/>
      <c r="E12" s="1338"/>
      <c r="F12" s="1334"/>
      <c r="G12" s="1848"/>
      <c r="H12" s="1331" t="s">
        <v>1075</v>
      </c>
      <c r="I12" s="1824" t="s">
        <v>1415</v>
      </c>
      <c r="J12" s="1332"/>
      <c r="K12" s="1346"/>
      <c r="L12" s="1338"/>
      <c r="M12" s="1347"/>
    </row>
    <row r="13" spans="1:37" ht="18" customHeight="1" thickTop="1">
      <c r="A13" s="1327">
        <v>2</v>
      </c>
      <c r="B13" s="1328" t="s">
        <v>1416</v>
      </c>
      <c r="C13" s="353">
        <f ca="1">ROUND(C29*F13,0)</f>
        <v>0</v>
      </c>
      <c r="D13" s="1329" t="s">
        <v>1417</v>
      </c>
      <c r="E13" s="1329" t="s">
        <v>1418</v>
      </c>
      <c r="F13" s="1330">
        <f ca="1">INDIRECT("'数据-取费表'!y"&amp;$G$1)</f>
        <v>0</v>
      </c>
      <c r="G13" s="1848"/>
      <c r="H13" s="1327">
        <v>2</v>
      </c>
      <c r="I13" s="1328" t="s">
        <v>1416</v>
      </c>
      <c r="J13" s="1288">
        <f ca="1">ROUND(J14*J15,0)</f>
        <v>0</v>
      </c>
      <c r="K13" s="1335" t="s">
        <v>1417</v>
      </c>
      <c r="L13" s="1849"/>
      <c r="M13" s="1850"/>
    </row>
    <row r="14" spans="1:37" ht="18" customHeight="1">
      <c r="A14" s="1199" t="s">
        <v>1034</v>
      </c>
      <c r="B14" s="345" t="s">
        <v>1419</v>
      </c>
      <c r="C14" s="361">
        <f ca="1">ROUND(INDIRECT("'数据-取费表'!l"&amp;$G$1)*F43+'数据-取费表'!L14*INDIRECT("'数据-取费表'!S"&amp;$G$1),0)</f>
        <v>0</v>
      </c>
      <c r="D14" s="1797" t="s">
        <v>1420</v>
      </c>
      <c r="E14" s="1791"/>
      <c r="F14" s="362"/>
      <c r="G14" s="1848"/>
      <c r="H14" s="1199" t="s">
        <v>1035</v>
      </c>
      <c r="I14" s="345" t="s">
        <v>1421</v>
      </c>
      <c r="J14" s="24">
        <f ca="1">C29</f>
        <v>0</v>
      </c>
      <c r="K14" s="15"/>
      <c r="L14" s="977"/>
      <c r="M14" s="978"/>
    </row>
    <row r="15" spans="1:37" s="1855" customFormat="1" ht="18" customHeight="1" thickBot="1">
      <c r="A15" s="1199" t="s">
        <v>1036</v>
      </c>
      <c r="B15" s="345" t="s">
        <v>1422</v>
      </c>
      <c r="C15" s="24">
        <f ca="1">ROUND(C14*F15,0)</f>
        <v>0</v>
      </c>
      <c r="D15" s="363" t="s">
        <v>1423</v>
      </c>
      <c r="E15" s="363" t="s">
        <v>1424</v>
      </c>
      <c r="F15" s="364">
        <f>'数据-取费表'!B33</f>
        <v>0.03</v>
      </c>
      <c r="G15" s="1851"/>
      <c r="H15" s="1337" t="s">
        <v>1039</v>
      </c>
      <c r="I15" s="1338" t="s">
        <v>1418</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1390</v>
      </c>
      <c r="B16" s="345" t="s">
        <v>1425</v>
      </c>
      <c r="C16" s="24">
        <f ca="1">ROUND(INDIRECT("'数据-取费表'!l"&amp;$G$1)*F43*F16,0)</f>
        <v>0</v>
      </c>
      <c r="D16" s="345" t="s">
        <v>1423</v>
      </c>
      <c r="E16" s="345" t="s">
        <v>1424</v>
      </c>
      <c r="F16" s="365">
        <f ca="1">IF(INDIRECT("'数据-取费表'!c"&amp;$G$1)="住宅",'数据-取费表'!B34,0)</f>
        <v>0</v>
      </c>
      <c r="G16" s="1848"/>
      <c r="H16" s="1327" t="s">
        <v>1030</v>
      </c>
      <c r="I16" s="1328" t="s">
        <v>1426</v>
      </c>
      <c r="J16" s="353">
        <f ca="1">ROUND(J17+J22+J23+J24,0)</f>
        <v>0</v>
      </c>
      <c r="K16" s="1335" t="s">
        <v>1427</v>
      </c>
      <c r="L16" s="1336"/>
      <c r="M16" s="1292"/>
    </row>
    <row r="17" spans="1:37" s="1855" customFormat="1" ht="18" customHeight="1">
      <c r="A17" s="1199" t="s">
        <v>1391</v>
      </c>
      <c r="B17" s="345" t="s">
        <v>1428</v>
      </c>
      <c r="C17" s="24">
        <f ca="1">ROUND(F17*(F43+INDIRECT("'数据-取费表'!S"&amp;$G$1)),0)</f>
        <v>0</v>
      </c>
      <c r="D17" s="345" t="s">
        <v>1429</v>
      </c>
      <c r="E17" s="345" t="s">
        <v>1430</v>
      </c>
      <c r="F17" s="26">
        <f>'数据-取费表'!B35</f>
        <v>200</v>
      </c>
      <c r="G17" s="1851"/>
      <c r="H17" s="1199" t="s">
        <v>1035</v>
      </c>
      <c r="I17" s="345" t="s">
        <v>1431</v>
      </c>
      <c r="J17" s="24">
        <f ca="1">ROUND(IF(项目基本情况!B11="自然人",J5*M17,J18+J19+J20),0)</f>
        <v>0</v>
      </c>
      <c r="K17" s="1797" t="s">
        <v>1432</v>
      </c>
      <c r="L17" s="1795" t="s">
        <v>1433</v>
      </c>
      <c r="M17" s="366"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1392</v>
      </c>
      <c r="B18" s="345" t="s">
        <v>1434</v>
      </c>
      <c r="C18" s="24">
        <f ca="1">ROUND(C14*F18,0)</f>
        <v>0</v>
      </c>
      <c r="D18" s="345" t="s">
        <v>1423</v>
      </c>
      <c r="E18" s="345" t="s">
        <v>1424</v>
      </c>
      <c r="F18" s="365">
        <f>'数据-取费表'!B36</f>
        <v>1.4999999999999999E-2</v>
      </c>
      <c r="G18" s="1851"/>
      <c r="H18" s="1199" t="s">
        <v>1034</v>
      </c>
      <c r="I18" s="345" t="s">
        <v>1435</v>
      </c>
      <c r="J18" s="24">
        <f ca="1">ROUND(J5*M18/(1+'数据-取费表'!C42),0)</f>
        <v>0</v>
      </c>
      <c r="K18" s="1795" t="s">
        <v>1436</v>
      </c>
      <c r="L18" s="345" t="s">
        <v>1424</v>
      </c>
      <c r="M18" s="365">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5" t="s">
        <v>1437</v>
      </c>
      <c r="C19" s="24">
        <f ca="1">SUM(C14:C18)</f>
        <v>0</v>
      </c>
      <c r="D19" s="137" t="s">
        <v>1438</v>
      </c>
      <c r="E19" s="1815"/>
      <c r="F19" s="26"/>
      <c r="G19" s="1848"/>
      <c r="H19" s="1199" t="s">
        <v>1036</v>
      </c>
      <c r="I19" s="345" t="s">
        <v>1439</v>
      </c>
      <c r="J19" s="24">
        <f ca="1">IF(K19="按租金收入计税",ROUND(J5*M19,0),ROUND(C29*M19*0.7,0))</f>
        <v>0</v>
      </c>
      <c r="K19" s="1825" t="s">
        <v>1440</v>
      </c>
      <c r="L19" s="345" t="s">
        <v>1424</v>
      </c>
      <c r="M19" s="365">
        <f>IF(K19="按租金收入计税",'数据-取费表'!B51,'数据-取费表'!B50)</f>
        <v>1.2E-2</v>
      </c>
    </row>
    <row r="20" spans="1:37" s="1855" customFormat="1" ht="18" customHeight="1">
      <c r="A20" s="1199" t="s">
        <v>1039</v>
      </c>
      <c r="B20" s="345" t="s">
        <v>1441</v>
      </c>
      <c r="C20" s="24">
        <f ca="1">ROUND(C19*F20,0)</f>
        <v>0</v>
      </c>
      <c r="D20" s="367" t="s">
        <v>1442</v>
      </c>
      <c r="E20" s="345" t="s">
        <v>1424</v>
      </c>
      <c r="F20" s="365">
        <f>'数据-取费表'!B37</f>
        <v>1.4999999999999999E-2</v>
      </c>
      <c r="G20" s="1851"/>
      <c r="H20" s="1199" t="s">
        <v>1390</v>
      </c>
      <c r="I20" s="162" t="s">
        <v>1443</v>
      </c>
      <c r="J20" s="25">
        <f ca="1">ROUND(M20*M21,0)</f>
        <v>0</v>
      </c>
      <c r="K20" s="368" t="s">
        <v>1444</v>
      </c>
      <c r="L20" s="345" t="s">
        <v>1445</v>
      </c>
      <c r="M20" s="369">
        <f>'数据-取费表'!B52</f>
        <v>16</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5" t="s">
        <v>1446</v>
      </c>
      <c r="C21" s="24" t="s">
        <v>1</v>
      </c>
      <c r="D21" s="367" t="s">
        <v>1447</v>
      </c>
      <c r="E21" s="345" t="s">
        <v>1448</v>
      </c>
      <c r="F21" s="365">
        <f>'数据-取费表'!B38</f>
        <v>2.5000000000000001E-2</v>
      </c>
      <c r="G21" s="1851"/>
      <c r="H21" s="370"/>
      <c r="I21" s="354"/>
      <c r="J21" s="29"/>
      <c r="K21" s="371"/>
      <c r="L21" s="345" t="s">
        <v>1449</v>
      </c>
      <c r="M21" s="346">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1393</v>
      </c>
      <c r="B22" s="345" t="s">
        <v>1450</v>
      </c>
      <c r="C22" s="24"/>
      <c r="D22" s="137" t="str">
        <f>IF(F23&lt;=1,"单利计息。","复利计息。")&amp;"建造成本、管理费用、销售费用产生的利息。"</f>
        <v>复利计息。建造成本、管理费用、销售费用产生的利息。</v>
      </c>
      <c r="E22" s="1815"/>
      <c r="F22" s="26"/>
      <c r="G22" s="1848"/>
      <c r="H22" s="1199" t="s">
        <v>1039</v>
      </c>
      <c r="I22" s="345" t="s">
        <v>1451</v>
      </c>
      <c r="J22" s="24">
        <f ca="1">ROUND(J14*M22,0)</f>
        <v>0</v>
      </c>
      <c r="K22" s="1795" t="s">
        <v>1452</v>
      </c>
      <c r="L22" s="345" t="s">
        <v>1424</v>
      </c>
      <c r="M22" s="372">
        <f ca="1">INDIRECT("'数据-取费表'!Ak"&amp;$G$1)</f>
        <v>0</v>
      </c>
    </row>
    <row r="23" spans="1:37" s="1855" customFormat="1" ht="18" customHeight="1">
      <c r="A23" s="1199" t="s">
        <v>1034</v>
      </c>
      <c r="B23" s="345" t="s">
        <v>1453</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1454</v>
      </c>
      <c r="F23" s="369">
        <f>'数据-取费表'!B20</f>
        <v>2.5</v>
      </c>
      <c r="G23" s="1851"/>
      <c r="H23" s="1199" t="s">
        <v>1075</v>
      </c>
      <c r="I23" s="345" t="s">
        <v>1455</v>
      </c>
      <c r="J23" s="24">
        <f ca="1">ROUND(J13*M23,0)</f>
        <v>0</v>
      </c>
      <c r="K23" s="1795" t="s">
        <v>1456</v>
      </c>
      <c r="L23" s="345" t="s">
        <v>1457</v>
      </c>
      <c r="M23" s="374">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1458</v>
      </c>
      <c r="B24" s="345" t="s">
        <v>1459</v>
      </c>
      <c r="C24" s="24">
        <f ca="1">ROUND(IF('数据-取费表'!B22&lt;=1,F21*F24*F23/2,F21*(POWER((1+F24),F23/2)-1)),4)</f>
        <v>1.5E-3</v>
      </c>
      <c r="D24" s="373" t="str">
        <f>IF(F23&lt;=1,"销售费用×利率×(建设周期÷2)","销售费用×((1+利率)^(建设周期÷2)-1)")</f>
        <v>销售费用×((1+利率)^(建设周期÷2)-1)</v>
      </c>
      <c r="E24" s="345" t="s">
        <v>1460</v>
      </c>
      <c r="F24" s="375">
        <f ca="1">'数据-取费表'!B40</f>
        <v>4.7500000000000001E-2</v>
      </c>
      <c r="G24" s="1851"/>
      <c r="H24" s="1337" t="s">
        <v>1394</v>
      </c>
      <c r="I24" s="1338" t="s">
        <v>1441</v>
      </c>
      <c r="J24" s="1339">
        <f ca="1">ROUND(J5*M24,0)</f>
        <v>0</v>
      </c>
      <c r="K24" s="1340" t="s">
        <v>1461</v>
      </c>
      <c r="L24" s="1338" t="s">
        <v>1457</v>
      </c>
      <c r="M24" s="1334">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9" t="s">
        <v>1462</v>
      </c>
      <c r="B25" s="345" t="s">
        <v>1463</v>
      </c>
      <c r="C25" s="24"/>
      <c r="D25" s="137" t="s">
        <v>1464</v>
      </c>
      <c r="E25" s="1815"/>
      <c r="F25" s="26"/>
      <c r="G25" s="1848"/>
      <c r="H25" s="1327" t="s">
        <v>1031</v>
      </c>
      <c r="I25" s="1342" t="s">
        <v>1465</v>
      </c>
      <c r="J25" s="353">
        <f ca="1">J5-J16</f>
        <v>0</v>
      </c>
      <c r="K25" s="1343" t="s">
        <v>1466</v>
      </c>
      <c r="L25" s="1344"/>
      <c r="M25" s="1345"/>
    </row>
    <row r="26" spans="1:37" ht="18" customHeight="1">
      <c r="A26" s="1199" t="s">
        <v>1034</v>
      </c>
      <c r="B26" s="345" t="s">
        <v>1467</v>
      </c>
      <c r="C26" s="24">
        <f ca="1">ROUND((C19+C20)*F26,0)</f>
        <v>0</v>
      </c>
      <c r="D26" s="367" t="s">
        <v>1468</v>
      </c>
      <c r="E26" s="356" t="s">
        <v>1469</v>
      </c>
      <c r="F26" s="355">
        <f ca="1">INDIRECT("'数据-取费表'!q"&amp;$G$1)</f>
        <v>0</v>
      </c>
      <c r="G26" s="1848"/>
      <c r="H26" s="342" t="s">
        <v>1032</v>
      </c>
      <c r="I26" s="343" t="s">
        <v>1470</v>
      </c>
      <c r="J26" s="344">
        <f ca="1">IF(J5&lt;&gt;0,ROUND(J25*(1-((1+M28)/(1+M26))^M27)/(M26-M28),0),0)</f>
        <v>0</v>
      </c>
      <c r="K26" s="368" t="s">
        <v>1471</v>
      </c>
      <c r="L26" s="345" t="s">
        <v>1472</v>
      </c>
      <c r="M26" s="355">
        <f ca="1">INDIRECT("'数据-取费表'!I"&amp;$G$1)</f>
        <v>0</v>
      </c>
    </row>
    <row r="27" spans="1:37" ht="18" customHeight="1">
      <c r="A27" s="1199" t="s">
        <v>1036</v>
      </c>
      <c r="B27" s="345" t="s">
        <v>1473</v>
      </c>
      <c r="C27" s="24">
        <f ca="1">ROUND(F21*F26,4)</f>
        <v>0</v>
      </c>
      <c r="D27" s="367" t="s">
        <v>1474</v>
      </c>
      <c r="E27" s="363"/>
      <c r="F27" s="364"/>
      <c r="G27" s="1848"/>
      <c r="H27" s="347"/>
      <c r="I27" s="348"/>
      <c r="J27" s="349"/>
      <c r="K27" s="376" t="s">
        <v>1475</v>
      </c>
      <c r="L27" s="345" t="s">
        <v>1476</v>
      </c>
      <c r="M27" s="377">
        <f ca="1">INDIRECT("'数据-取费表'!ag"&amp;$G$1)</f>
        <v>0</v>
      </c>
    </row>
    <row r="28" spans="1:37" s="1855" customFormat="1" ht="18" customHeight="1">
      <c r="A28" s="1199" t="s">
        <v>1037</v>
      </c>
      <c r="B28" s="345" t="s">
        <v>1477</v>
      </c>
      <c r="C28" s="24">
        <f>ROUND(F28/(1+'数据-取费表'!C42),4)</f>
        <v>5.33E-2</v>
      </c>
      <c r="D28" s="367" t="s">
        <v>1478</v>
      </c>
      <c r="E28" s="345" t="s">
        <v>1424</v>
      </c>
      <c r="F28" s="365">
        <f>'数据-取费表'!B41</f>
        <v>5.6000000000000001E-2</v>
      </c>
      <c r="G28" s="1851"/>
      <c r="H28" s="351"/>
      <c r="I28" s="352"/>
      <c r="J28" s="353"/>
      <c r="K28" s="371"/>
      <c r="L28" s="345" t="s">
        <v>1479</v>
      </c>
      <c r="M28" s="355">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1480</v>
      </c>
      <c r="C29" s="1339">
        <f ca="1">ROUND((C19+C20+C23+C26)/(1-F21-C24-C27-C28),0)</f>
        <v>0</v>
      </c>
      <c r="D29" s="1340"/>
      <c r="E29" s="1338"/>
      <c r="F29" s="1341"/>
      <c r="G29" s="1851"/>
      <c r="H29" s="378" t="s">
        <v>1033</v>
      </c>
      <c r="I29" s="379" t="s">
        <v>1481</v>
      </c>
      <c r="J29" s="380">
        <f ca="1">ROUND(J26/(1+F40)^F41,0)</f>
        <v>0</v>
      </c>
      <c r="K29" s="381" t="s">
        <v>1482</v>
      </c>
      <c r="L29" s="382"/>
      <c r="M29" s="383">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1426</v>
      </c>
      <c r="C30" s="353">
        <f ca="1">ROUND(C31+C36+C37+C38,0)</f>
        <v>0</v>
      </c>
      <c r="D30" s="1335" t="s">
        <v>1427</v>
      </c>
      <c r="E30" s="1336"/>
      <c r="F30" s="1292"/>
      <c r="G30" s="1848"/>
      <c r="H30" s="742"/>
      <c r="I30" s="743"/>
      <c r="J30" s="744"/>
      <c r="K30" s="745"/>
      <c r="L30" s="746"/>
      <c r="M30" s="747"/>
    </row>
    <row r="31" spans="1:37" ht="18" customHeight="1">
      <c r="A31" s="1199" t="s">
        <v>1035</v>
      </c>
      <c r="B31" s="345" t="s">
        <v>1431</v>
      </c>
      <c r="C31" s="24">
        <f ca="1">ROUND(IF(项目基本情况!B11="自然人",C5*F31,C32+C33+C34),0)</f>
        <v>0</v>
      </c>
      <c r="D31" s="1797" t="s">
        <v>1432</v>
      </c>
      <c r="E31" s="1795" t="s">
        <v>1483</v>
      </c>
      <c r="F31" s="366" t="str">
        <f ca="1">IF(项目基本情况!B11="企业","",IF(INDIRECT("'数据-取费表'!c"&amp;$G$1)="住宅",5%,IF(F6*F7*F8/12/(1+'数据-取费表'!C42)&gt;20000,12%,7%)))</f>
        <v/>
      </c>
      <c r="G31" s="1848"/>
      <c r="H31" s="742"/>
      <c r="I31" s="743"/>
      <c r="J31" s="744"/>
      <c r="K31" s="745"/>
      <c r="L31" s="746"/>
      <c r="M31" s="747"/>
    </row>
    <row r="32" spans="1:37" ht="18" customHeight="1">
      <c r="A32" s="1199" t="s">
        <v>1034</v>
      </c>
      <c r="B32" s="345" t="s">
        <v>1435</v>
      </c>
      <c r="C32" s="24">
        <f ca="1">IF(项目基本情况!B11="自然人","——",ROUND(C5*F32/(1+'数据-取费表'!C42),0))</f>
        <v>0</v>
      </c>
      <c r="D32" s="1795" t="s">
        <v>1436</v>
      </c>
      <c r="E32" s="345" t="s">
        <v>1424</v>
      </c>
      <c r="F32" s="375">
        <f>'数据-取费表'!B41</f>
        <v>5.6000000000000001E-2</v>
      </c>
      <c r="G32" s="1848"/>
      <c r="H32" s="742"/>
      <c r="I32" s="743"/>
      <c r="J32" s="744"/>
      <c r="K32" s="745"/>
      <c r="L32" s="746"/>
      <c r="M32" s="747"/>
    </row>
    <row r="33" spans="1:18" ht="18" customHeight="1">
      <c r="A33" s="1199" t="s">
        <v>1036</v>
      </c>
      <c r="B33" s="345" t="s">
        <v>1439</v>
      </c>
      <c r="C33" s="24">
        <f ca="1">IF(项目基本情况!B11="自然人","——",IF(D33="按租金收入计税",ROUND(C5*F33,0),IF(D33="按房产原值计税",ROUND(C29*F33*0.7,0),INDIRECT("'数据-取费表'!Aj"&amp;$G$1))))</f>
        <v>0</v>
      </c>
      <c r="D33" s="1825" t="s">
        <v>1440</v>
      </c>
      <c r="E33" s="345" t="s">
        <v>1424</v>
      </c>
      <c r="F33" s="365">
        <f>IF(D33="按票据","——",IF(D33="按租金收入计税",'数据-取费表'!B51,'数据-取费表'!B50))</f>
        <v>1.2E-2</v>
      </c>
      <c r="G33" s="1848"/>
      <c r="H33" s="1856"/>
      <c r="I33" s="1857"/>
      <c r="J33" s="1858"/>
      <c r="K33" s="1859"/>
      <c r="L33" s="1856"/>
      <c r="M33" s="1856"/>
    </row>
    <row r="34" spans="1:18" ht="18" customHeight="1">
      <c r="A34" s="1289" t="s">
        <v>1390</v>
      </c>
      <c r="B34" s="162" t="s">
        <v>1443</v>
      </c>
      <c r="C34" s="25">
        <f ca="1">IF(项目基本情况!B11="自然人","——",ROUND(F34*F35,))</f>
        <v>0</v>
      </c>
      <c r="D34" s="368" t="s">
        <v>1444</v>
      </c>
      <c r="E34" s="345" t="s">
        <v>1445</v>
      </c>
      <c r="F34" s="369">
        <f>'数据-取费表'!B52</f>
        <v>16</v>
      </c>
      <c r="G34" s="1848"/>
      <c r="H34" s="742"/>
      <c r="I34" s="1857"/>
      <c r="J34" s="1858"/>
      <c r="K34" s="1860"/>
      <c r="L34" s="1861"/>
      <c r="M34" s="1861"/>
    </row>
    <row r="35" spans="1:18" ht="18" customHeight="1">
      <c r="A35" s="1351"/>
      <c r="B35" s="1349"/>
      <c r="C35" s="29"/>
      <c r="D35" s="371"/>
      <c r="E35" s="345" t="s">
        <v>1449</v>
      </c>
      <c r="F35" s="346">
        <f ca="1">INDIRECT("'数据-取费表'!r"&amp;$G$1)</f>
        <v>0</v>
      </c>
      <c r="G35" s="1848"/>
      <c r="H35" s="742"/>
      <c r="I35" s="1857"/>
      <c r="J35" s="1858"/>
      <c r="K35" s="1859"/>
      <c r="L35" s="1856"/>
      <c r="M35" s="1856"/>
    </row>
    <row r="36" spans="1:18" ht="18" customHeight="1">
      <c r="A36" s="1350" t="s">
        <v>1039</v>
      </c>
      <c r="B36" s="345" t="s">
        <v>1451</v>
      </c>
      <c r="C36" s="24">
        <f ca="1">ROUND(C29*F36,0)</f>
        <v>0</v>
      </c>
      <c r="D36" s="1795" t="s">
        <v>1484</v>
      </c>
      <c r="E36" s="345" t="s">
        <v>1424</v>
      </c>
      <c r="F36" s="372">
        <f ca="1">INDIRECT("'数据-取费表'!Ak"&amp;$G$1)</f>
        <v>0</v>
      </c>
      <c r="G36" s="1848"/>
      <c r="H36" s="1856"/>
      <c r="I36" s="1857"/>
      <c r="J36" s="1858"/>
      <c r="K36" s="748"/>
      <c r="L36" s="1856"/>
      <c r="M36" s="1856"/>
    </row>
    <row r="37" spans="1:18" ht="18" customHeight="1">
      <c r="A37" s="1199" t="s">
        <v>1075</v>
      </c>
      <c r="B37" s="345" t="s">
        <v>1455</v>
      </c>
      <c r="C37" s="24">
        <f ca="1">ROUND(C13*F37,0)</f>
        <v>0</v>
      </c>
      <c r="D37" s="1795" t="s">
        <v>1456</v>
      </c>
      <c r="E37" s="345" t="s">
        <v>1457</v>
      </c>
      <c r="F37" s="374">
        <f ca="1">INDIRECT("'数据-取费表'!Al"&amp;$G$1)</f>
        <v>0</v>
      </c>
      <c r="G37" s="1848"/>
      <c r="H37" s="1856"/>
      <c r="I37" s="1857"/>
      <c r="J37" s="1858"/>
      <c r="K37" s="748"/>
      <c r="L37" s="1856"/>
      <c r="M37" s="1856"/>
    </row>
    <row r="38" spans="1:18" ht="18" customHeight="1" thickBot="1">
      <c r="A38" s="1337" t="s">
        <v>1394</v>
      </c>
      <c r="B38" s="1338" t="s">
        <v>1441</v>
      </c>
      <c r="C38" s="1339">
        <f ca="1">ROUND(C5*F38,1)</f>
        <v>0</v>
      </c>
      <c r="D38" s="1340" t="s">
        <v>1461</v>
      </c>
      <c r="E38" s="1338" t="s">
        <v>1457</v>
      </c>
      <c r="F38" s="1334">
        <f ca="1">INDIRECT("'数据-取费表'!Am"&amp;$G$1)</f>
        <v>0</v>
      </c>
      <c r="G38" s="1848"/>
      <c r="H38" s="1856"/>
      <c r="I38" s="1857"/>
      <c r="J38" s="1858"/>
      <c r="K38" s="1862"/>
      <c r="L38" s="1856"/>
      <c r="M38" s="1856"/>
    </row>
    <row r="39" spans="1:18" ht="24.6" customHeight="1" thickTop="1">
      <c r="A39" s="1327" t="s">
        <v>1031</v>
      </c>
      <c r="B39" s="1342" t="s">
        <v>1485</v>
      </c>
      <c r="C39" s="353">
        <f ca="1">C5-C30</f>
        <v>0</v>
      </c>
      <c r="D39" s="1343" t="s">
        <v>1486</v>
      </c>
      <c r="E39" s="1344"/>
      <c r="F39" s="1345"/>
      <c r="G39" s="1848"/>
      <c r="H39" s="1856"/>
      <c r="I39" s="1857"/>
      <c r="J39" s="1858"/>
      <c r="K39" s="1862"/>
      <c r="L39" s="1856"/>
      <c r="M39" s="1856"/>
    </row>
    <row r="40" spans="1:18" ht="18" customHeight="1">
      <c r="A40" s="342" t="s">
        <v>1032</v>
      </c>
      <c r="B40" s="343" t="s">
        <v>1487</v>
      </c>
      <c r="C40" s="344" t="e">
        <f ca="1">ROUND(C39*(1-((1+F42)/(1+F40))^F41)/(F40-F42),0)</f>
        <v>#DIV/0!</v>
      </c>
      <c r="D40" s="368" t="s">
        <v>1471</v>
      </c>
      <c r="E40" s="345" t="s">
        <v>1472</v>
      </c>
      <c r="F40" s="355">
        <f ca="1">INDIRECT("'数据-取费表'!I"&amp;$G$1)</f>
        <v>0</v>
      </c>
      <c r="G40" s="1848"/>
      <c r="H40" s="1836"/>
      <c r="I40" s="1857"/>
      <c r="J40" s="1858"/>
      <c r="K40" s="1862"/>
      <c r="L40" s="1836"/>
      <c r="M40" s="1836"/>
    </row>
    <row r="41" spans="1:18" ht="18" customHeight="1">
      <c r="A41" s="347"/>
      <c r="B41" s="348"/>
      <c r="C41" s="349"/>
      <c r="D41" s="376" t="s">
        <v>1488</v>
      </c>
      <c r="E41" s="345" t="s">
        <v>1476</v>
      </c>
      <c r="F41" s="377">
        <f ca="1">IF(INDIRECT("'数据-取费表'!af"&amp;$G$1)=0,INDIRECT("'数据-取费表'!ae"&amp;$G$1),INDIRECT("'数据-取费表'!af"&amp;$G$1))</f>
        <v>0</v>
      </c>
      <c r="G41" s="1848"/>
      <c r="H41" s="729"/>
      <c r="I41" s="1857"/>
      <c r="J41" s="1858"/>
      <c r="K41" s="748"/>
      <c r="L41" s="729"/>
      <c r="M41" s="729"/>
    </row>
    <row r="42" spans="1:18" ht="18" customHeight="1">
      <c r="A42" s="351"/>
      <c r="B42" s="352"/>
      <c r="C42" s="353"/>
      <c r="D42" s="371"/>
      <c r="E42" s="345" t="s">
        <v>1479</v>
      </c>
      <c r="F42" s="355">
        <f ca="1">INDIRECT("'数据-取费表'!v"&amp;$G$1)</f>
        <v>0</v>
      </c>
      <c r="G42" s="1848"/>
      <c r="H42" s="729"/>
      <c r="I42" s="1857"/>
      <c r="J42" s="1858"/>
      <c r="K42" s="748"/>
      <c r="L42" s="729"/>
      <c r="M42" s="729"/>
    </row>
    <row r="43" spans="1:18" ht="18" customHeight="1" thickBot="1">
      <c r="A43" s="378" t="s">
        <v>1033</v>
      </c>
      <c r="B43" s="379" t="s">
        <v>1489</v>
      </c>
      <c r="C43" s="380" t="e">
        <f ca="1">ROUND(C40/F43,0)</f>
        <v>#DIV/0!</v>
      </c>
      <c r="D43" s="381" t="s">
        <v>1490</v>
      </c>
      <c r="E43" s="382" t="s">
        <v>1491</v>
      </c>
      <c r="F43" s="383">
        <f ca="1">INDIRECT("'数据-取费表'!k"&amp;$G$1)</f>
        <v>0</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1606</v>
      </c>
      <c r="E45" s="1863"/>
      <c r="F45" s="1863"/>
      <c r="O45" s="1866" t="s">
        <v>1521</v>
      </c>
      <c r="P45" s="1836"/>
      <c r="Q45" s="1836"/>
      <c r="R45" s="1836"/>
    </row>
    <row r="46" spans="1:18" s="1839" customFormat="1" ht="13.5" thickBot="1">
      <c r="A46" s="1867" t="s">
        <v>1522</v>
      </c>
      <c r="C46" s="1868" t="e">
        <f ca="1">ROUND(C45/10000,0)</f>
        <v>#DIV/0!</v>
      </c>
      <c r="D46" s="1869" t="str">
        <f>C2</f>
        <v>万元</v>
      </c>
      <c r="I46" s="1870" t="s">
        <v>1523</v>
      </c>
      <c r="J46" s="1871"/>
      <c r="K46" s="1872"/>
      <c r="L46" s="1873" t="e">
        <f ca="1">IF(M47="住宅",0,IF(L48&gt;J51,L60,J60))</f>
        <v>#DIV/0!</v>
      </c>
      <c r="O46" s="1874" t="s">
        <v>1524</v>
      </c>
      <c r="P46" s="1875" t="s">
        <v>1525</v>
      </c>
      <c r="Q46" s="1876" t="s">
        <v>1526</v>
      </c>
      <c r="R46" s="1876" t="s">
        <v>1527</v>
      </c>
    </row>
    <row r="47" spans="1:18" s="1839" customFormat="1" ht="13.5" thickBot="1">
      <c r="A47" s="1163" t="s">
        <v>1397</v>
      </c>
      <c r="B47" s="1195" t="s">
        <v>1398</v>
      </c>
      <c r="C47" s="1195" t="s">
        <v>1399</v>
      </c>
      <c r="D47" s="1195" t="s">
        <v>1400</v>
      </c>
      <c r="E47" s="1277" t="s">
        <v>1401</v>
      </c>
      <c r="F47" s="1278"/>
      <c r="G47" s="789"/>
      <c r="I47" s="1877" t="s">
        <v>1528</v>
      </c>
      <c r="J47" s="1878"/>
      <c r="K47" s="1879" t="s">
        <v>1529</v>
      </c>
      <c r="L47" s="1880">
        <f ca="1">INDIRECT("'数据-取费表'!d"&amp;$G$1)</f>
        <v>0</v>
      </c>
      <c r="M47" s="1835" t="str">
        <f>IF(ISNUMBER(FIND("住宅",C1)),"住宅","非住宅")</f>
        <v>非住宅</v>
      </c>
      <c r="O47" s="1881" t="s">
        <v>1040</v>
      </c>
      <c r="P47" s="1882" t="s">
        <v>1530</v>
      </c>
      <c r="Q47" s="1883" t="e">
        <f ca="1">C40+J29</f>
        <v>#DIV/0!</v>
      </c>
      <c r="R47" s="1883" t="s">
        <v>1531</v>
      </c>
    </row>
    <row r="48" spans="1:18" s="1839" customFormat="1" ht="28.5" thickBot="1">
      <c r="A48" s="1358" t="s">
        <v>1135</v>
      </c>
      <c r="B48" s="343" t="s">
        <v>1402</v>
      </c>
      <c r="C48" s="1814">
        <f ca="1">C49+C53+C55</f>
        <v>0</v>
      </c>
      <c r="D48" s="1360"/>
      <c r="E48" s="1361"/>
      <c r="F48" s="1179"/>
      <c r="G48" s="789"/>
      <c r="H48" s="790"/>
      <c r="I48" s="1884" t="s">
        <v>1532</v>
      </c>
      <c r="J48" s="1885"/>
      <c r="K48" s="1886" t="s">
        <v>1533</v>
      </c>
      <c r="L48" s="1887">
        <f ca="1">INDIRECT("'数据-取费表'!f"&amp;$G$1)</f>
        <v>0</v>
      </c>
      <c r="O48" s="1881" t="s">
        <v>1041</v>
      </c>
      <c r="P48" s="1882" t="s">
        <v>1534</v>
      </c>
      <c r="Q48" s="1883" t="e">
        <f ca="1">J60</f>
        <v>#DIV/0!</v>
      </c>
      <c r="R48" s="1883" t="s">
        <v>1535</v>
      </c>
    </row>
    <row r="49" spans="1:18" s="1839" customFormat="1" ht="13.5" thickBot="1">
      <c r="A49" s="1192" t="s">
        <v>1136</v>
      </c>
      <c r="B49" s="1826" t="s">
        <v>1492</v>
      </c>
      <c r="C49" s="1362">
        <f ca="1">ROUND(F49*F51*F50*(1-F52),0)</f>
        <v>0</v>
      </c>
      <c r="D49" s="1274" t="s">
        <v>1405</v>
      </c>
      <c r="E49" s="1827" t="s">
        <v>1493</v>
      </c>
      <c r="F49" s="1279"/>
      <c r="G49" s="1888"/>
      <c r="H49" s="790"/>
      <c r="I49" s="1884" t="s">
        <v>1536</v>
      </c>
      <c r="J49" s="1889"/>
      <c r="K49" s="1886" t="s">
        <v>1537</v>
      </c>
      <c r="L49" s="1890"/>
      <c r="O49" s="1891" t="s">
        <v>1042</v>
      </c>
      <c r="P49" s="1882" t="s">
        <v>1538</v>
      </c>
      <c r="Q49" s="1883">
        <f ca="1">C29</f>
        <v>0</v>
      </c>
      <c r="R49" s="1883" t="s">
        <v>1531</v>
      </c>
    </row>
    <row r="50" spans="1:18" s="1839" customFormat="1" ht="13.5" thickBot="1">
      <c r="A50" s="1193"/>
      <c r="B50" s="1196"/>
      <c r="C50" s="1197"/>
      <c r="D50" s="1170"/>
      <c r="E50" s="1275" t="s">
        <v>1407</v>
      </c>
      <c r="F50" s="1276">
        <f ca="1">F7</f>
        <v>0</v>
      </c>
      <c r="H50" s="790"/>
      <c r="I50" s="1884" t="s">
        <v>1539</v>
      </c>
      <c r="J50" s="1892">
        <f>SUMPRODUCT((I63:I65=J47)*(J62:L62=J48)*(J63:L65))</f>
        <v>0</v>
      </c>
      <c r="K50" s="1886" t="s">
        <v>1540</v>
      </c>
      <c r="L50" s="1890"/>
      <c r="M50" s="1893"/>
      <c r="O50" s="1891" t="s">
        <v>1043</v>
      </c>
      <c r="P50" s="1882" t="s">
        <v>1541</v>
      </c>
      <c r="Q50" s="1894" t="e">
        <f ca="1">J58</f>
        <v>#DIV/0!</v>
      </c>
      <c r="R50" s="1883"/>
    </row>
    <row r="51" spans="1:18" s="1839" customFormat="1" ht="13.5" thickBot="1">
      <c r="A51" s="1194"/>
      <c r="B51" s="1196"/>
      <c r="C51" s="1197"/>
      <c r="D51" s="1170"/>
      <c r="E51" s="1198" t="s">
        <v>1408</v>
      </c>
      <c r="F51" s="346">
        <f ca="1">F8</f>
        <v>0</v>
      </c>
      <c r="I51" s="1895" t="s">
        <v>1542</v>
      </c>
      <c r="J51" s="1896">
        <f>IF(J49="",J50,J49+J50-YEAR('数据-取费表'!B2))</f>
        <v>0</v>
      </c>
      <c r="K51" s="1897" t="s">
        <v>1543</v>
      </c>
      <c r="L51" s="1898">
        <f ca="1">ROUND(-PV(INDIRECT("'数据-取费表'!h"&amp;$G$1),L48,(C39-C13*C76),0),0)</f>
        <v>0</v>
      </c>
      <c r="M51" s="1899"/>
      <c r="O51" s="1891" t="s">
        <v>1044</v>
      </c>
      <c r="P51" s="1882" t="s">
        <v>1544</v>
      </c>
      <c r="Q51" s="1894">
        <f>J52</f>
        <v>0</v>
      </c>
      <c r="R51" s="1883"/>
    </row>
    <row r="52" spans="1:18" s="1839" customFormat="1" ht="13.5" thickBot="1">
      <c r="A52" s="1194"/>
      <c r="B52" s="1196"/>
      <c r="C52" s="1197"/>
      <c r="D52" s="1170"/>
      <c r="E52" s="1198" t="s">
        <v>1409</v>
      </c>
      <c r="F52" s="1273"/>
      <c r="I52" s="1900" t="s">
        <v>1545</v>
      </c>
      <c r="J52" s="1901"/>
      <c r="K52" s="1900" t="s">
        <v>1546</v>
      </c>
      <c r="L52" s="1901"/>
      <c r="O52" s="1891" t="s">
        <v>1045</v>
      </c>
      <c r="P52" s="1882" t="s">
        <v>1547</v>
      </c>
      <c r="Q52" s="1883" t="b">
        <f>J53</f>
        <v>0</v>
      </c>
      <c r="R52" s="1883" t="s">
        <v>1548</v>
      </c>
    </row>
    <row r="53" spans="1:18" s="1839" customFormat="1" ht="30.75" customHeight="1" thickBot="1">
      <c r="A53" s="1359" t="s">
        <v>1137</v>
      </c>
      <c r="B53" s="367" t="s">
        <v>1410</v>
      </c>
      <c r="C53" s="359">
        <f ca="1">ROUND(IF(F53="押一",F49*F51*F50/12*F11,IF(F53="押二",F49*F51*F50/12*2*F11,IF(F53="押三",F49*F51*F50/12*3*F11,C54*F11))),0)</f>
        <v>0</v>
      </c>
      <c r="D53" s="1821" t="s">
        <v>1411</v>
      </c>
      <c r="E53" s="356" t="s">
        <v>1412</v>
      </c>
      <c r="F53" s="1364"/>
      <c r="I53" s="1902" t="s">
        <v>1549</v>
      </c>
      <c r="J53" s="1903" t="b">
        <f>IF(M47="住宅",J51,IF(D1="——",MIN(J51,L48),IF(D1="在建（套用方法）",MIN(J51,L48-'数据-取费表'!B24),IF(D1="土地（套用方法）",MIN(J51,L48-'数据-取费表'!B20)))))</f>
        <v>0</v>
      </c>
      <c r="K53" s="3229" t="s">
        <v>1550</v>
      </c>
      <c r="L53" s="3230"/>
      <c r="O53" s="1881" t="s">
        <v>1046</v>
      </c>
      <c r="P53" s="1882" t="s">
        <v>1551</v>
      </c>
      <c r="Q53" s="1883" t="e">
        <f ca="1">Q47+Q48</f>
        <v>#DIV/0!</v>
      </c>
      <c r="R53" s="1883" t="s">
        <v>1047</v>
      </c>
    </row>
    <row r="54" spans="1:18" s="1839" customFormat="1" ht="13.5" thickBot="1">
      <c r="A54" s="1192"/>
      <c r="B54" s="1938" t="s">
        <v>1605</v>
      </c>
      <c r="C54" s="1176"/>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1552</v>
      </c>
      <c r="P54" s="1836"/>
      <c r="Q54" s="1836"/>
      <c r="R54" s="1836"/>
    </row>
    <row r="55" spans="1:18" s="1839" customFormat="1" ht="13.5" thickBot="1">
      <c r="A55" s="1331" t="s">
        <v>1075</v>
      </c>
      <c r="B55" s="1824" t="s">
        <v>1415</v>
      </c>
      <c r="C55" s="1332"/>
      <c r="D55" s="1821"/>
      <c r="E55" s="1829"/>
      <c r="F55" s="1904"/>
      <c r="I55" s="1907" t="s">
        <v>1553</v>
      </c>
      <c r="J55" s="1908" t="e">
        <f ca="1">ROUND(IF(J47="钢混",J57/J50,1-(1-2%)*(J50-J57)/J50),3)</f>
        <v>#DIV/0!</v>
      </c>
      <c r="K55" s="1909" t="s">
        <v>1554</v>
      </c>
      <c r="L55" s="1910"/>
      <c r="O55" s="1874" t="s">
        <v>1524</v>
      </c>
      <c r="P55" s="1875" t="s">
        <v>1525</v>
      </c>
      <c r="Q55" s="1876" t="s">
        <v>1526</v>
      </c>
      <c r="R55" s="1876" t="s">
        <v>1527</v>
      </c>
    </row>
    <row r="56" spans="1:18" s="1839" customFormat="1" ht="36" customHeight="1" thickTop="1" thickBot="1">
      <c r="A56" s="1174">
        <v>2</v>
      </c>
      <c r="B56" s="1175" t="s">
        <v>1416</v>
      </c>
      <c r="C56" s="274">
        <f ca="1">C13</f>
        <v>0</v>
      </c>
      <c r="D56" s="1911"/>
      <c r="E56" s="1912"/>
      <c r="F56" s="1904"/>
      <c r="I56" s="1913" t="s">
        <v>1556</v>
      </c>
      <c r="J56" s="1914"/>
      <c r="K56" s="1884" t="s">
        <v>1557</v>
      </c>
      <c r="L56" s="1887">
        <f ca="1">IF(L48&lt;J51,"——",L48-J51)</f>
        <v>0</v>
      </c>
      <c r="O56" s="1881" t="s">
        <v>1040</v>
      </c>
      <c r="P56" s="1882" t="s">
        <v>1530</v>
      </c>
      <c r="Q56" s="1883" t="e">
        <f ca="1">C40+J29</f>
        <v>#DIV/0!</v>
      </c>
      <c r="R56" s="1883" t="s">
        <v>1531</v>
      </c>
    </row>
    <row r="57" spans="1:18" s="1839" customFormat="1" ht="24.75" thickBot="1">
      <c r="A57" s="1915"/>
      <c r="B57" s="1167" t="s">
        <v>1480</v>
      </c>
      <c r="C57" s="280">
        <f ca="1">C29</f>
        <v>0</v>
      </c>
      <c r="D57" s="1916"/>
      <c r="E57" s="1917"/>
      <c r="F57" s="1918"/>
      <c r="I57" s="1919" t="s">
        <v>1558</v>
      </c>
      <c r="J57" s="1920">
        <f ca="1">IF(OR(M47="住宅",J51&lt;L48,J56="是"),"——",J51-L48)</f>
        <v>0</v>
      </c>
      <c r="K57" s="1884" t="s">
        <v>1607</v>
      </c>
      <c r="L57" s="1887">
        <f ca="1">IF(L48&lt;J51,"——",IF(L55="比较法",L49,IF(L55="基准地价",L50,L51)))</f>
        <v>0</v>
      </c>
      <c r="O57" s="1881" t="s">
        <v>1041</v>
      </c>
      <c r="P57" s="1882" t="s">
        <v>1608</v>
      </c>
      <c r="Q57" s="1883" t="e">
        <f ca="1">L60</f>
        <v>#DIV/0!</v>
      </c>
      <c r="R57" s="1883" t="s">
        <v>1609</v>
      </c>
    </row>
    <row r="58" spans="1:18" s="1839" customFormat="1" ht="24.75" thickBot="1">
      <c r="A58" s="358" t="s">
        <v>1030</v>
      </c>
      <c r="B58" s="1175" t="s">
        <v>1426</v>
      </c>
      <c r="C58" s="359">
        <f ca="1">ROUND(C59+C64+C65+C66,0)</f>
        <v>0</v>
      </c>
      <c r="D58" s="1177" t="s">
        <v>1427</v>
      </c>
      <c r="E58" s="1178"/>
      <c r="F58" s="1179"/>
      <c r="I58" s="1919" t="s">
        <v>1562</v>
      </c>
      <c r="J58" s="1921" t="e">
        <f ca="1">IF(J55&lt;0.4,0.4,J55)</f>
        <v>#DIV/0!</v>
      </c>
      <c r="K58" s="1897" t="s">
        <v>1610</v>
      </c>
      <c r="L58" s="1887" t="e">
        <f ca="1">ROUND(POWER(1+L52,L47-L48)*(POWER(1+L52,L48)-1)/(POWER(1+L52,L47)-1),4)</f>
        <v>#DIV/0!</v>
      </c>
      <c r="O58" s="1891" t="s">
        <v>1042</v>
      </c>
      <c r="P58" s="1882" t="s">
        <v>1564</v>
      </c>
      <c r="Q58" s="1883">
        <f>IF(L55="比较法",L49,IF(L55="基准地价",L50,0))</f>
        <v>0</v>
      </c>
      <c r="R58" s="1883" t="s">
        <v>1531</v>
      </c>
    </row>
    <row r="59" spans="1:18" s="1839" customFormat="1" ht="24.75" thickBot="1">
      <c r="A59" s="1199" t="s">
        <v>1035</v>
      </c>
      <c r="B59" s="1167" t="s">
        <v>1431</v>
      </c>
      <c r="C59" s="24">
        <f ca="1">ROUND(IF(项目基本情况!B11="自然人",C48*F59,C60+C61+C62),0)</f>
        <v>0</v>
      </c>
      <c r="D59" s="1180" t="s">
        <v>1432</v>
      </c>
      <c r="E59" s="1181" t="s">
        <v>1433</v>
      </c>
      <c r="F59" s="366" t="str">
        <f ca="1">IF(项目基本情况!B11="企业","",IF(INDIRECT("'数据-取费表'!c"&amp;$G$1)="住宅",5%,IF(F49*F50*F51/12/(1+'数据-取费表'!C42)&gt;20000,12%,7%)))</f>
        <v/>
      </c>
      <c r="I59" s="1919" t="s">
        <v>1565</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1043</v>
      </c>
      <c r="P59" s="1882" t="s">
        <v>1566</v>
      </c>
      <c r="Q59" s="1894">
        <f>L52</f>
        <v>0</v>
      </c>
      <c r="R59" s="1883"/>
    </row>
    <row r="60" spans="1:18" s="1839" customFormat="1" ht="16.5" thickBot="1">
      <c r="A60" s="1199" t="s">
        <v>1034</v>
      </c>
      <c r="B60" s="1167" t="s">
        <v>1435</v>
      </c>
      <c r="C60" s="24">
        <f ca="1">IF(项目基本情况!B11="自然人","——",ROUND(C48*F60/(1+'数据-取费表'!C42),0))</f>
        <v>0</v>
      </c>
      <c r="D60" s="1181" t="s">
        <v>1436</v>
      </c>
      <c r="E60" s="1167" t="s">
        <v>1424</v>
      </c>
      <c r="F60" s="375">
        <f t="shared" ref="F60:F66" si="0">F32</f>
        <v>5.6000000000000001E-2</v>
      </c>
      <c r="I60" s="1922" t="s">
        <v>1567</v>
      </c>
      <c r="J60" s="1923" t="e">
        <f ca="1">IF(OR(M47="住宅",J51&lt;L48,J56="是"),"0",ROUND(J59/(1+J52)^J53,0))</f>
        <v>#DIV/0!</v>
      </c>
      <c r="K60" s="1924" t="s">
        <v>1568</v>
      </c>
      <c r="L60" s="1923" t="e">
        <f ca="1">IF(OR(M47="住宅",L48&lt;J51),0,ROUND(L57*(L58/L59-1),0))</f>
        <v>#DIV/0!</v>
      </c>
      <c r="O60" s="1891" t="s">
        <v>1044</v>
      </c>
      <c r="P60" s="1882" t="s">
        <v>1569</v>
      </c>
      <c r="Q60" s="1883" t="e">
        <f ca="1">L58</f>
        <v>#DIV/0!</v>
      </c>
      <c r="R60" s="1883" t="s">
        <v>1570</v>
      </c>
    </row>
    <row r="61" spans="1:18" s="1839" customFormat="1" ht="13.5" thickBot="1">
      <c r="A61" s="1199" t="s">
        <v>1494</v>
      </c>
      <c r="B61" s="1167" t="s">
        <v>1495</v>
      </c>
      <c r="C61" s="24">
        <f ca="1">IF(项目基本情况!B11="自然人","——",IF(D61="按租金收入计税",ROUND(C48*F61,0),IF(D61="按房产原值计税",ROUND(C57*F61*0.7,0),INDIRECT("'数据-取费表'!Aj"&amp;$G$1))))</f>
        <v>0</v>
      </c>
      <c r="D61" s="1825" t="s">
        <v>1440</v>
      </c>
      <c r="E61" s="1167" t="s">
        <v>1496</v>
      </c>
      <c r="F61" s="365">
        <f t="shared" si="0"/>
        <v>1.2E-2</v>
      </c>
      <c r="I61" s="1925"/>
      <c r="J61" s="1925"/>
      <c r="K61" s="1925"/>
      <c r="L61" s="1925"/>
      <c r="O61" s="1891" t="s">
        <v>1045</v>
      </c>
      <c r="P61" s="1882" t="str">
        <f>K59</f>
        <v>建设期及建筑物耐用年限下的土地年期修正系数Kn</v>
      </c>
      <c r="Q61" s="1883" t="e">
        <f ca="1">L59</f>
        <v>#DIV/0!</v>
      </c>
      <c r="R61" s="1883" t="s">
        <v>1571</v>
      </c>
    </row>
    <row r="62" spans="1:18" s="1839" customFormat="1" ht="13.5" thickBot="1">
      <c r="A62" s="1199" t="s">
        <v>1497</v>
      </c>
      <c r="B62" s="1166" t="s">
        <v>1498</v>
      </c>
      <c r="C62" s="25">
        <f ca="1">IF(项目基本情况!B11="自然人","——",ROUND(F62*F63,0))</f>
        <v>0</v>
      </c>
      <c r="D62" s="1182" t="s">
        <v>1499</v>
      </c>
      <c r="E62" s="1167" t="s">
        <v>1500</v>
      </c>
      <c r="F62" s="369">
        <f t="shared" si="0"/>
        <v>16</v>
      </c>
      <c r="I62" s="1926" t="s">
        <v>1572</v>
      </c>
      <c r="J62" s="1927" t="s">
        <v>1573</v>
      </c>
      <c r="K62" s="1927" t="s">
        <v>1574</v>
      </c>
      <c r="L62" s="1927" t="s">
        <v>1575</v>
      </c>
      <c r="M62" s="1928" t="s">
        <v>1576</v>
      </c>
      <c r="O62" s="1881" t="s">
        <v>1046</v>
      </c>
      <c r="P62" s="1882" t="s">
        <v>1577</v>
      </c>
      <c r="Q62" s="1883" t="e">
        <f ca="1">Q56+Q57</f>
        <v>#DIV/0!</v>
      </c>
      <c r="R62" s="1883" t="s">
        <v>1047</v>
      </c>
    </row>
    <row r="63" spans="1:18" s="1839" customFormat="1" ht="13.5" thickBot="1">
      <c r="A63" s="370"/>
      <c r="B63" s="1173"/>
      <c r="C63" s="29"/>
      <c r="D63" s="1183"/>
      <c r="E63" s="1167" t="s">
        <v>1501</v>
      </c>
      <c r="F63" s="346">
        <f t="shared" ca="1" si="0"/>
        <v>0</v>
      </c>
      <c r="I63" s="1926" t="s">
        <v>1578</v>
      </c>
      <c r="J63" s="1927">
        <v>70</v>
      </c>
      <c r="K63" s="1927">
        <v>50</v>
      </c>
      <c r="L63" s="1927">
        <v>80</v>
      </c>
      <c r="M63" s="1929">
        <v>0.02</v>
      </c>
      <c r="O63" s="1866" t="s">
        <v>1579</v>
      </c>
      <c r="P63" s="1836"/>
      <c r="Q63" s="1836"/>
      <c r="R63" s="1836"/>
    </row>
    <row r="64" spans="1:18" s="1839" customFormat="1" ht="13.5" thickBot="1">
      <c r="A64" s="1199" t="s">
        <v>1502</v>
      </c>
      <c r="B64" s="1167" t="s">
        <v>1503</v>
      </c>
      <c r="C64" s="24">
        <f ca="1">ROUND(C57*F64,0)</f>
        <v>0</v>
      </c>
      <c r="D64" s="1181" t="s">
        <v>1504</v>
      </c>
      <c r="E64" s="1167" t="s">
        <v>1496</v>
      </c>
      <c r="F64" s="372">
        <f t="shared" ca="1" si="0"/>
        <v>0</v>
      </c>
      <c r="I64" s="1926" t="s">
        <v>1580</v>
      </c>
      <c r="J64" s="1927">
        <v>50</v>
      </c>
      <c r="K64" s="1927">
        <v>35</v>
      </c>
      <c r="L64" s="1927">
        <v>60</v>
      </c>
      <c r="M64" s="1928">
        <v>0</v>
      </c>
      <c r="O64" s="1874" t="s">
        <v>1524</v>
      </c>
      <c r="P64" s="1875" t="s">
        <v>1525</v>
      </c>
      <c r="Q64" s="1876" t="s">
        <v>1526</v>
      </c>
      <c r="R64" s="1876" t="s">
        <v>1527</v>
      </c>
    </row>
    <row r="65" spans="1:18" s="1839" customFormat="1" ht="13.5" thickBot="1">
      <c r="A65" s="1199" t="s">
        <v>1505</v>
      </c>
      <c r="B65" s="1167" t="s">
        <v>1455</v>
      </c>
      <c r="C65" s="24">
        <f ca="1">ROUND(C56*F65,0)</f>
        <v>0</v>
      </c>
      <c r="D65" s="1181" t="s">
        <v>1456</v>
      </c>
      <c r="E65" s="1167" t="s">
        <v>1457</v>
      </c>
      <c r="F65" s="374">
        <f t="shared" ca="1" si="0"/>
        <v>0</v>
      </c>
      <c r="I65" s="1926" t="s">
        <v>1581</v>
      </c>
      <c r="J65" s="1927">
        <v>40</v>
      </c>
      <c r="K65" s="1927">
        <v>30</v>
      </c>
      <c r="L65" s="1927">
        <v>50</v>
      </c>
      <c r="M65" s="1929">
        <v>0.02</v>
      </c>
      <c r="O65" s="1881" t="s">
        <v>1040</v>
      </c>
      <c r="P65" s="1882" t="s">
        <v>1582</v>
      </c>
      <c r="Q65" s="1883" t="e">
        <f ca="1">C40+J29</f>
        <v>#DIV/0!</v>
      </c>
      <c r="R65" s="1883" t="s">
        <v>1531</v>
      </c>
    </row>
    <row r="66" spans="1:18" s="1839" customFormat="1" ht="16.5" thickBot="1">
      <c r="A66" s="1199" t="s">
        <v>1506</v>
      </c>
      <c r="B66" s="1167" t="s">
        <v>1441</v>
      </c>
      <c r="C66" s="24">
        <f ca="1">ROUND(C48*F66,0)</f>
        <v>0</v>
      </c>
      <c r="D66" s="1181" t="s">
        <v>1507</v>
      </c>
      <c r="E66" s="1167" t="s">
        <v>1424</v>
      </c>
      <c r="F66" s="355">
        <f t="shared" ca="1" si="0"/>
        <v>0</v>
      </c>
      <c r="O66" s="1881" t="s">
        <v>1041</v>
      </c>
      <c r="P66" s="1882" t="s">
        <v>1560</v>
      </c>
      <c r="Q66" s="1883" t="e">
        <f ca="1">L60</f>
        <v>#DIV/0!</v>
      </c>
      <c r="R66" s="1883" t="s">
        <v>1583</v>
      </c>
    </row>
    <row r="67" spans="1:18" s="1839" customFormat="1" ht="16.5" thickBot="1">
      <c r="A67" s="1174" t="s">
        <v>1031</v>
      </c>
      <c r="B67" s="1184" t="s">
        <v>1465</v>
      </c>
      <c r="C67" s="359">
        <f ca="1">C48-C58</f>
        <v>0</v>
      </c>
      <c r="D67" s="1180" t="s">
        <v>1466</v>
      </c>
      <c r="E67" s="1185"/>
      <c r="F67" s="1186"/>
      <c r="O67" s="1891" t="s">
        <v>1042</v>
      </c>
      <c r="P67" s="1882" t="s">
        <v>1564</v>
      </c>
      <c r="Q67" s="1930">
        <f ca="1">L51</f>
        <v>0</v>
      </c>
      <c r="R67" s="1883" t="s">
        <v>1584</v>
      </c>
    </row>
    <row r="68" spans="1:18" s="1839" customFormat="1" ht="16.5" thickBot="1">
      <c r="A68" s="1164" t="s">
        <v>1032</v>
      </c>
      <c r="B68" s="1165" t="s">
        <v>1487</v>
      </c>
      <c r="C68" s="344" t="e">
        <f ca="1">ROUND(C67*(1-((1+F70)/(1+F68))^F69)/(F68-F70),0)</f>
        <v>#DIV/0!</v>
      </c>
      <c r="D68" s="1182" t="s">
        <v>1471</v>
      </c>
      <c r="E68" s="1167" t="s">
        <v>1472</v>
      </c>
      <c r="F68" s="355">
        <f ca="1">F40</f>
        <v>0</v>
      </c>
      <c r="O68" s="1891" t="s">
        <v>1043</v>
      </c>
      <c r="P68" s="1931" t="s">
        <v>1585</v>
      </c>
      <c r="Q68" s="1883">
        <f ca="1">ROUND(Q69-Q70*Q71,0)</f>
        <v>0</v>
      </c>
      <c r="R68" s="1883" t="s">
        <v>1051</v>
      </c>
    </row>
    <row r="69" spans="1:18" s="1839" customFormat="1" ht="13.5" thickBot="1">
      <c r="A69" s="1168"/>
      <c r="B69" s="1169"/>
      <c r="C69" s="349"/>
      <c r="D69" s="1187" t="s">
        <v>1475</v>
      </c>
      <c r="E69" s="1167" t="s">
        <v>1476</v>
      </c>
      <c r="F69" s="377">
        <f ca="1">F41</f>
        <v>0</v>
      </c>
      <c r="O69" s="1891" t="s">
        <v>1048</v>
      </c>
      <c r="P69" s="1931" t="s">
        <v>1586</v>
      </c>
      <c r="Q69" s="1883">
        <f ca="1">C39</f>
        <v>0</v>
      </c>
      <c r="R69" s="1883" t="s">
        <v>1531</v>
      </c>
    </row>
    <row r="70" spans="1:18" s="1839" customFormat="1" ht="13.5" thickBot="1">
      <c r="A70" s="1171"/>
      <c r="B70" s="1172"/>
      <c r="C70" s="353"/>
      <c r="D70" s="1183"/>
      <c r="E70" s="1167" t="s">
        <v>1479</v>
      </c>
      <c r="F70" s="1273">
        <f ca="1">F42</f>
        <v>0</v>
      </c>
      <c r="O70" s="1891" t="s">
        <v>1049</v>
      </c>
      <c r="P70" s="1931" t="s">
        <v>1587</v>
      </c>
      <c r="Q70" s="1883">
        <f ca="1">C13</f>
        <v>0</v>
      </c>
      <c r="R70" s="1883" t="s">
        <v>1531</v>
      </c>
    </row>
    <row r="71" spans="1:18" s="1839" customFormat="1" ht="13.5" thickBot="1">
      <c r="A71" s="1188" t="s">
        <v>1033</v>
      </c>
      <c r="B71" s="1189" t="s">
        <v>1489</v>
      </c>
      <c r="C71" s="380" t="e">
        <f ca="1">ROUND(C68/F71,0)</f>
        <v>#DIV/0!</v>
      </c>
      <c r="D71" s="1190" t="s">
        <v>1490</v>
      </c>
      <c r="E71" s="1191" t="s">
        <v>1491</v>
      </c>
      <c r="F71" s="383">
        <f ca="1">F43</f>
        <v>0</v>
      </c>
      <c r="O71" s="1891" t="s">
        <v>1050</v>
      </c>
      <c r="P71" s="1931" t="s">
        <v>1588</v>
      </c>
      <c r="Q71" s="1894">
        <f ca="1">C76</f>
        <v>0</v>
      </c>
      <c r="R71" s="1883"/>
    </row>
    <row r="72" spans="1:18" s="1839" customFormat="1" ht="13.5" thickBot="1">
      <c r="B72" s="793"/>
      <c r="C72" s="793"/>
      <c r="O72" s="1891" t="s">
        <v>1044</v>
      </c>
      <c r="P72" s="1882" t="s">
        <v>1566</v>
      </c>
      <c r="Q72" s="1894">
        <f>L52</f>
        <v>0</v>
      </c>
      <c r="R72" s="1883"/>
    </row>
    <row r="73" spans="1:18" ht="16.5" thickBot="1">
      <c r="A73" s="1839"/>
      <c r="B73" s="793"/>
      <c r="C73" s="793"/>
      <c r="D73" s="1839"/>
      <c r="E73" s="1839"/>
      <c r="F73" s="1839"/>
      <c r="O73" s="1891" t="s">
        <v>1045</v>
      </c>
      <c r="P73" s="1882" t="s">
        <v>1569</v>
      </c>
      <c r="Q73" s="1883" t="e">
        <f ca="1">L58</f>
        <v>#DIV/0!</v>
      </c>
      <c r="R73" s="1883" t="s">
        <v>1570</v>
      </c>
    </row>
    <row r="74" spans="1:18" ht="13.5" thickBot="1">
      <c r="A74" s="1839"/>
      <c r="B74" s="315" t="s">
        <v>1589</v>
      </c>
      <c r="C74" s="1933"/>
      <c r="D74" s="1839"/>
      <c r="E74" s="1839"/>
      <c r="F74" s="1839"/>
      <c r="O74" s="1891" t="s">
        <v>1052</v>
      </c>
      <c r="P74" s="1882" t="str">
        <f>K59</f>
        <v>建设期及建筑物耐用年限下的土地年期修正系数Kn</v>
      </c>
      <c r="Q74" s="1883" t="e">
        <f ca="1">L59</f>
        <v>#DIV/0!</v>
      </c>
      <c r="R74" s="1883" t="s">
        <v>1571</v>
      </c>
    </row>
    <row r="75" spans="1:18" ht="13.5" thickBot="1">
      <c r="A75" s="1839"/>
      <c r="B75" s="384" t="s">
        <v>1508</v>
      </c>
      <c r="C75" s="385">
        <f ca="1">ROUND(C13*C76,0)</f>
        <v>0</v>
      </c>
      <c r="D75" s="1839"/>
      <c r="E75" s="1839"/>
      <c r="F75" s="1839"/>
      <c r="K75" s="1865"/>
      <c r="L75" s="1839"/>
      <c r="O75" s="1881" t="s">
        <v>1046</v>
      </c>
      <c r="P75" s="1882" t="s">
        <v>1551</v>
      </c>
      <c r="Q75" s="1883" t="e">
        <f ca="1">Q65+Q66</f>
        <v>#DIV/0!</v>
      </c>
      <c r="R75" s="1883" t="s">
        <v>1047</v>
      </c>
    </row>
    <row r="76" spans="1:18">
      <c r="B76" s="386" t="s">
        <v>1509</v>
      </c>
      <c r="C76" s="387">
        <f ca="1">INDIRECT("'数据-取费表'!j"&amp;$G$1)</f>
        <v>0</v>
      </c>
      <c r="I76" s="1839"/>
      <c r="J76" s="1839"/>
      <c r="K76" s="1865"/>
      <c r="L76" s="1839"/>
    </row>
    <row r="77" spans="1:18">
      <c r="B77" s="388" t="s">
        <v>1510</v>
      </c>
      <c r="C77" s="389"/>
      <c r="I77" s="1839"/>
      <c r="J77" s="1839"/>
      <c r="K77" s="1865"/>
      <c r="L77" s="1839"/>
    </row>
    <row r="78" spans="1:18">
      <c r="B78" s="312" t="s">
        <v>1511</v>
      </c>
      <c r="C78" s="390"/>
    </row>
    <row r="79" spans="1:18">
      <c r="B79" s="384" t="s">
        <v>1512</v>
      </c>
      <c r="C79" s="316" t="e">
        <f ca="1">1-C80</f>
        <v>#DIV/0!</v>
      </c>
    </row>
    <row r="80" spans="1:18">
      <c r="B80" s="384" t="s">
        <v>1513</v>
      </c>
      <c r="C80" s="316" t="e">
        <f ca="1">ROUND(C75/C39,3)</f>
        <v>#DIV/0!</v>
      </c>
    </row>
    <row r="81" spans="2:3">
      <c r="B81" s="312" t="s">
        <v>1514</v>
      </c>
      <c r="C81" s="280"/>
    </row>
    <row r="82" spans="2:3">
      <c r="B82" s="315" t="s">
        <v>1515</v>
      </c>
      <c r="C82" s="317" t="e">
        <f ca="1">1-C83</f>
        <v>#DIV/0!</v>
      </c>
    </row>
    <row r="83" spans="2:3">
      <c r="B83" s="315" t="s">
        <v>1516</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2" customWidth="1"/>
    <col min="2" max="16384" width="9" style="1942"/>
  </cols>
  <sheetData>
    <row r="1" spans="1:1" ht="23.25">
      <c r="A1" s="1941" t="s">
        <v>1613</v>
      </c>
    </row>
    <row r="2" spans="1:1">
      <c r="A2" s="1943"/>
    </row>
    <row r="3" spans="1:1" ht="18">
      <c r="A3" s="1944" t="str">
        <f>项目基本情况!B5&amp;"："</f>
        <v>济南三盛房地产开发有限公司：</v>
      </c>
    </row>
    <row r="4" spans="1:1" ht="36">
      <c r="A4" s="1945" t="str">
        <f>"受贵公司委托，我公司对"&amp;项目基本情况!S1&amp;"进行了预评估。"</f>
        <v>受贵公司委托，我公司对山东省济南市高新区凤凰路以西、旅游路以南出让国有建设用地使用权及在建建筑物房地产抵押价值进行了预评估。</v>
      </c>
    </row>
    <row r="5" spans="1:1" ht="18.75">
      <c r="A5" s="1946" t="s">
        <v>1614</v>
      </c>
    </row>
    <row r="6" spans="1:1" ht="18.75">
      <c r="A6" s="1947" t="s">
        <v>1615</v>
      </c>
    </row>
    <row r="7" spans="1:1" ht="72">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济南市高新区凤凰路以西、旅游路以南出让国有建设用地使用权及在建建筑物房地产，为济南三盛房地产开发有限公司所有。根据《国有土地使用证》[]，估价对象（分摊）出让国有建设用地使用权面积为21196.98平方米，建筑面积为67330.17平方米。</v>
      </c>
    </row>
    <row r="8" spans="1:1" ht="57.75">
      <c r="A8" s="1948" t="s">
        <v>1616</v>
      </c>
    </row>
    <row r="9" spans="1:1" ht="18.75">
      <c r="A9" s="1947" t="s">
        <v>1617</v>
      </c>
    </row>
    <row r="10" spans="1:1" ht="72">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济南市高新区凤凰路以西、旅游路以南出让国有建设用地使用权及在建建筑物房地产,属济南三盛房地产开发有限公司开发建设的，该项目尚在开发建设中。根据《国有土地使用证》[]，估价对象（分摊）出让国有建设用地使用权面积为21196.98平方米，规划建筑面积为67330.17平方米。</v>
      </c>
    </row>
    <row r="11" spans="1:1" ht="76.5">
      <c r="A11" s="1948" t="s">
        <v>1618</v>
      </c>
    </row>
    <row r="12" spans="1:1" ht="18.75">
      <c r="A12" s="1946" t="s">
        <v>1619</v>
      </c>
    </row>
    <row r="13" spans="1:1" ht="38.25" customHeight="1">
      <c r="A13" s="1949" t="str">
        <f>IF(项目基本情况!B8="抵押",IF(项目基本情况!B5=项目基本情况!B6,定义!C51,定义!B51),定义!D51)</f>
        <v>为估价委托人在向国投信托有限公司办理贷款手续过程中，确定房地产抵押贷款额度提供参考依据而评估房地产抵押价值。</v>
      </c>
    </row>
    <row r="14" spans="1:1" ht="18.75">
      <c r="A14" s="1950" t="s">
        <v>1620</v>
      </c>
    </row>
    <row r="15" spans="1:1" ht="18">
      <c r="A15" s="1951" t="str">
        <f>TEXT(项目基本情况!D3,"yyyy年m月d日;;")&amp;IF(项目基本情况!D3=项目基本情况!B3,"（评估专业人员实地查勘之日）","")</f>
        <v>2017年11月17日（评估专业人员实地查勘之日）</v>
      </c>
    </row>
    <row r="16" spans="1:1" ht="18.75">
      <c r="A16" s="1950" t="s">
        <v>1621</v>
      </c>
    </row>
    <row r="17" spans="1:1" ht="75">
      <c r="A17" s="1945" t="s">
        <v>1622</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17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5"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1611</v>
      </c>
    </row>
    <row r="24" spans="1:1" ht="18">
      <c r="A24" s="1952" t="str">
        <f>"本次评估采用的主估价方法为"&amp;结果表!K4&amp;"和"&amp;结果表!L4&amp;"。"</f>
        <v>本次评估采用的主估价方法为成本法和假设开发法。</v>
      </c>
    </row>
    <row r="25" spans="1:1" ht="18">
      <c r="A25" s="1952"/>
    </row>
    <row r="26" spans="1:1" ht="18.75">
      <c r="A26" s="1953" t="s">
        <v>1612</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5" t="s">
        <v>2529</v>
      </c>
      <c r="B1" s="2556"/>
      <c r="C1" s="2556"/>
      <c r="D1" s="2556"/>
      <c r="E1" s="2557"/>
    </row>
    <row r="2" spans="1:6" ht="15.75">
      <c r="A2" s="2558" t="s">
        <v>2333</v>
      </c>
      <c r="B2" s="2559">
        <f ca="1">SUMIF(B6:B13,"&lt;&gt;#ref!",B6:B13)</f>
        <v>17351</v>
      </c>
      <c r="C2" s="2560" t="s">
        <v>2522</v>
      </c>
      <c r="D2" s="2561" t="s">
        <v>2523</v>
      </c>
      <c r="E2" s="2562">
        <f>SUM(E6:E13)</f>
        <v>15539.66</v>
      </c>
    </row>
    <row r="3" spans="1:6" ht="15.75">
      <c r="A3" s="2558" t="s">
        <v>1396</v>
      </c>
      <c r="B3" s="2559">
        <f ca="1">ROUND(B2*10000/E2,0)</f>
        <v>11166</v>
      </c>
      <c r="C3" s="2560" t="s">
        <v>2530</v>
      </c>
      <c r="D3" s="2563"/>
      <c r="E3" s="2564"/>
    </row>
    <row r="4" spans="1:6" ht="15.75">
      <c r="A4" s="2565"/>
      <c r="B4" s="2563"/>
      <c r="C4" s="2563"/>
      <c r="D4" s="2563"/>
      <c r="E4" s="2564"/>
    </row>
    <row r="5" spans="1:6" ht="15">
      <c r="A5" s="2566" t="s">
        <v>2524</v>
      </c>
      <c r="B5" s="3239" t="s">
        <v>2525</v>
      </c>
      <c r="C5" s="3239"/>
      <c r="D5" s="2567"/>
      <c r="E5" s="2568" t="s">
        <v>2526</v>
      </c>
      <c r="F5" s="2569" t="s">
        <v>2527</v>
      </c>
    </row>
    <row r="6" spans="1:6">
      <c r="A6" s="2570">
        <f>'数据-取费表'!AN6</f>
        <v>0</v>
      </c>
      <c r="B6" s="2569" t="e">
        <f ca="1">IF(F6="是",'数据-取费表'!AO6,0)</f>
        <v>#REF!</v>
      </c>
      <c r="C6" s="2560" t="s">
        <v>2522</v>
      </c>
      <c r="D6" s="2563"/>
      <c r="E6" s="2571">
        <f>IF(OR(A6=0,F6="否"),0,'数据-取费表'!K6+'数据-取费表'!S6)</f>
        <v>0</v>
      </c>
      <c r="F6" s="2572" t="s">
        <v>2528</v>
      </c>
    </row>
    <row r="7" spans="1:6">
      <c r="A7" s="2570">
        <f>'数据-取费表'!AN7</f>
        <v>0</v>
      </c>
      <c r="B7" s="2569" t="e">
        <f ca="1">IF(F7="是",'数据-取费表'!AO7,0)</f>
        <v>#REF!</v>
      </c>
      <c r="C7" s="2560" t="s">
        <v>2522</v>
      </c>
      <c r="D7" s="2563"/>
      <c r="E7" s="2571">
        <f>IF(OR(A7=0,F7="否"),0,'数据-取费表'!K7+'数据-取费表'!S7)</f>
        <v>0</v>
      </c>
      <c r="F7" s="2572" t="s">
        <v>2528</v>
      </c>
    </row>
    <row r="8" spans="1:6">
      <c r="A8" s="2570" t="str">
        <f>'数据-取费表'!AN8</f>
        <v>收益法</v>
      </c>
      <c r="B8" s="2569">
        <f ca="1">IF(F8="是",'数据-取费表'!AO8,0)</f>
        <v>2066</v>
      </c>
      <c r="C8" s="2560" t="s">
        <v>2522</v>
      </c>
      <c r="D8" s="2563"/>
      <c r="E8" s="2571">
        <f>IF(OR(A8=0,F8="否"),0,'数据-取费表'!K8+'数据-取费表'!S8)</f>
        <v>7555.62</v>
      </c>
      <c r="F8" s="2572" t="s">
        <v>2528</v>
      </c>
    </row>
    <row r="9" spans="1:6">
      <c r="A9" s="2570">
        <f>'数据-取费表'!AN9</f>
        <v>0</v>
      </c>
      <c r="B9" s="2569" t="e">
        <f ca="1">IF(F9="是",'数据-取费表'!AO9,0)</f>
        <v>#REF!</v>
      </c>
      <c r="C9" s="2560" t="s">
        <v>2522</v>
      </c>
      <c r="D9" s="2563"/>
      <c r="E9" s="2571">
        <f>IF(OR(A9=0,F9="否"),0,'数据-取费表'!K9+'数据-取费表'!S9)</f>
        <v>0</v>
      </c>
      <c r="F9" s="2572" t="s">
        <v>2528</v>
      </c>
    </row>
    <row r="10" spans="1:6">
      <c r="A10" s="2570" t="str">
        <f>'数据-取费表'!AN10</f>
        <v>收益法 (底商)</v>
      </c>
      <c r="B10" s="2569">
        <f ca="1">IF(F10="是",'数据-取费表'!AO10,0)</f>
        <v>10781</v>
      </c>
      <c r="C10" s="2560" t="s">
        <v>2522</v>
      </c>
      <c r="D10" s="2563"/>
      <c r="E10" s="2571">
        <f>IF(OR(A10=0,F10="否"),0,'数据-取费表'!K10+'数据-取费表'!S10)</f>
        <v>5207.59</v>
      </c>
      <c r="F10" s="2572" t="s">
        <v>2528</v>
      </c>
    </row>
    <row r="11" spans="1:6">
      <c r="A11" s="2570" t="str">
        <f>'数据-取费表'!AN11</f>
        <v>收益法 (售楼处)</v>
      </c>
      <c r="B11" s="2569">
        <f ca="1">IF(F11="是",'数据-取费表'!AO11,0)</f>
        <v>4504</v>
      </c>
      <c r="C11" s="2560" t="s">
        <v>2522</v>
      </c>
      <c r="D11" s="2563"/>
      <c r="E11" s="2571">
        <f>IF(OR(A11=0,F11="否"),0,'数据-取费表'!K11+'数据-取费表'!S11)</f>
        <v>2776.4500000000003</v>
      </c>
      <c r="F11" s="2572" t="s">
        <v>2528</v>
      </c>
    </row>
    <row r="12" spans="1:6">
      <c r="A12" s="2570">
        <f>'数据-取费表'!AN12</f>
        <v>0</v>
      </c>
      <c r="B12" s="2569" t="e">
        <f ca="1">IF(F12="是",'数据-取费表'!AO12,0)</f>
        <v>#REF!</v>
      </c>
      <c r="C12" s="2560" t="s">
        <v>2522</v>
      </c>
      <c r="D12" s="2563"/>
      <c r="E12" s="2571">
        <f>IF(OR(A12=0,F12="否"),0,'数据-取费表'!K12+'数据-取费表'!S12)</f>
        <v>0</v>
      </c>
      <c r="F12" s="2572" t="s">
        <v>2528</v>
      </c>
    </row>
    <row r="13" spans="1:6" ht="15" thickBot="1">
      <c r="A13" s="2573">
        <f>'数据-取费表'!AN13</f>
        <v>0</v>
      </c>
      <c r="B13" s="2569" t="e">
        <f ca="1">IF(F13="是",'数据-取费表'!AO13,0)</f>
        <v>#REF!</v>
      </c>
      <c r="C13" s="2574" t="s">
        <v>2522</v>
      </c>
      <c r="D13" s="2575"/>
      <c r="E13" s="2571">
        <f>IF(OR(A13=0,F13="否"),0,'数据-取费表'!K13+'数据-取费表'!S13)</f>
        <v>0</v>
      </c>
      <c r="F13" s="2572"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0" t="s">
        <v>1076</v>
      </c>
      <c r="B1" s="3241"/>
      <c r="C1" s="3242"/>
      <c r="D1" s="3243">
        <f>SUM(I10,I15,I20,I21,I23)</f>
        <v>0</v>
      </c>
      <c r="E1" s="3243"/>
      <c r="F1" s="3243"/>
      <c r="G1" s="3243"/>
      <c r="H1" s="3243"/>
      <c r="I1" s="3244"/>
    </row>
    <row r="2" spans="1:9">
      <c r="A2" s="3245" t="s">
        <v>1077</v>
      </c>
      <c r="B2" s="3246" t="s">
        <v>1078</v>
      </c>
      <c r="C2" s="3246"/>
      <c r="D2" s="1299" t="s">
        <v>1079</v>
      </c>
      <c r="E2" s="1299" t="s">
        <v>1080</v>
      </c>
      <c r="F2" s="1299" t="s">
        <v>1081</v>
      </c>
      <c r="G2" s="1299" t="s">
        <v>1082</v>
      </c>
      <c r="H2" s="1299" t="s">
        <v>1083</v>
      </c>
      <c r="I2" s="1300" t="s">
        <v>1084</v>
      </c>
    </row>
    <row r="3" spans="1:9">
      <c r="A3" s="3245"/>
      <c r="B3" s="3246" t="s">
        <v>1085</v>
      </c>
      <c r="C3" s="3246"/>
      <c r="D3" s="1301"/>
      <c r="E3" s="1299"/>
      <c r="F3" s="1302"/>
      <c r="G3" s="1302"/>
      <c r="H3" s="1303"/>
      <c r="I3" s="1304">
        <f>ROUND(D3*E3*F3*G3*H3/10000,0)</f>
        <v>0</v>
      </c>
    </row>
    <row r="4" spans="1:9">
      <c r="A4" s="3245"/>
      <c r="B4" s="3246" t="s">
        <v>1086</v>
      </c>
      <c r="C4" s="3246"/>
      <c r="D4" s="1301"/>
      <c r="E4" s="1299"/>
      <c r="F4" s="1302"/>
      <c r="G4" s="1302"/>
      <c r="H4" s="1303"/>
      <c r="I4" s="1304">
        <f t="shared" ref="I4:I9" si="0">ROUND(D4*E4*F4*G4*H4/10000,0)</f>
        <v>0</v>
      </c>
    </row>
    <row r="5" spans="1:9">
      <c r="A5" s="3245"/>
      <c r="B5" s="3246" t="s">
        <v>1087</v>
      </c>
      <c r="C5" s="3246"/>
      <c r="D5" s="1301"/>
      <c r="E5" s="1299"/>
      <c r="F5" s="1302"/>
      <c r="G5" s="1302"/>
      <c r="H5" s="1303"/>
      <c r="I5" s="1304">
        <f t="shared" si="0"/>
        <v>0</v>
      </c>
    </row>
    <row r="6" spans="1:9">
      <c r="A6" s="3245"/>
      <c r="B6" s="3246" t="s">
        <v>1088</v>
      </c>
      <c r="C6" s="3246"/>
      <c r="D6" s="1301"/>
      <c r="E6" s="1299"/>
      <c r="F6" s="1302"/>
      <c r="G6" s="1302"/>
      <c r="H6" s="1303"/>
      <c r="I6" s="1304">
        <f t="shared" si="0"/>
        <v>0</v>
      </c>
    </row>
    <row r="7" spans="1:9">
      <c r="A7" s="3245"/>
      <c r="B7" s="3246" t="s">
        <v>1089</v>
      </c>
      <c r="C7" s="3246"/>
      <c r="D7" s="1301"/>
      <c r="E7" s="1299"/>
      <c r="F7" s="1302"/>
      <c r="G7" s="1302"/>
      <c r="H7" s="1303"/>
      <c r="I7" s="1304">
        <f t="shared" si="0"/>
        <v>0</v>
      </c>
    </row>
    <row r="8" spans="1:9">
      <c r="A8" s="3245"/>
      <c r="B8" s="3246" t="s">
        <v>1090</v>
      </c>
      <c r="C8" s="3246"/>
      <c r="D8" s="1301"/>
      <c r="E8" s="1299"/>
      <c r="F8" s="1302"/>
      <c r="G8" s="1302"/>
      <c r="H8" s="1303"/>
      <c r="I8" s="1304">
        <f t="shared" si="0"/>
        <v>0</v>
      </c>
    </row>
    <row r="9" spans="1:9">
      <c r="A9" s="3245"/>
      <c r="B9" s="3246" t="s">
        <v>1091</v>
      </c>
      <c r="C9" s="3246"/>
      <c r="D9" s="1301"/>
      <c r="E9" s="1299"/>
      <c r="F9" s="1302"/>
      <c r="G9" s="1302"/>
      <c r="H9" s="1303"/>
      <c r="I9" s="1304">
        <f t="shared" si="0"/>
        <v>0</v>
      </c>
    </row>
    <row r="10" spans="1:9">
      <c r="A10" s="3245"/>
      <c r="B10" s="3247" t="s">
        <v>1092</v>
      </c>
      <c r="C10" s="3247"/>
      <c r="D10" s="1305"/>
      <c r="E10" s="1305" t="e">
        <f>ROUND(D1*10000/D10/H9,0)</f>
        <v>#DIV/0!</v>
      </c>
      <c r="F10" s="1306"/>
      <c r="G10" s="1306"/>
      <c r="H10" s="1307"/>
      <c r="I10" s="1308">
        <f>SUM(I3:I9)</f>
        <v>0</v>
      </c>
    </row>
    <row r="11" spans="1:9" ht="14.25">
      <c r="A11" s="3245" t="s">
        <v>1093</v>
      </c>
      <c r="B11" s="3246" t="s">
        <v>1094</v>
      </c>
      <c r="C11" s="3246"/>
      <c r="D11" s="1301" t="s">
        <v>1095</v>
      </c>
      <c r="E11" s="1301" t="s">
        <v>1096</v>
      </c>
      <c r="F11" s="1302" t="s">
        <v>1097</v>
      </c>
      <c r="G11" s="1302" t="s">
        <v>1083</v>
      </c>
      <c r="H11" s="1309" t="s">
        <v>1098</v>
      </c>
      <c r="I11" s="1300" t="s">
        <v>1084</v>
      </c>
    </row>
    <row r="12" spans="1:9">
      <c r="A12" s="3245"/>
      <c r="B12" s="3246" t="s">
        <v>1099</v>
      </c>
      <c r="C12" s="3246"/>
      <c r="D12" s="1301"/>
      <c r="E12" s="1301"/>
      <c r="F12" s="1302"/>
      <c r="G12" s="1303"/>
      <c r="H12" s="1310"/>
      <c r="I12" s="1300">
        <f>ROUND(D12*E12*F12*G12/10000,0)</f>
        <v>0</v>
      </c>
    </row>
    <row r="13" spans="1:9">
      <c r="A13" s="3245"/>
      <c r="B13" s="3246" t="s">
        <v>1100</v>
      </c>
      <c r="C13" s="3246"/>
      <c r="D13" s="1301"/>
      <c r="E13" s="1301"/>
      <c r="F13" s="1302"/>
      <c r="G13" s="1303"/>
      <c r="H13" s="1310"/>
      <c r="I13" s="1300">
        <f>ROUND(D13*E13*F13*G13/10000,0)</f>
        <v>0</v>
      </c>
    </row>
    <row r="14" spans="1:9">
      <c r="A14" s="3245"/>
      <c r="B14" s="3246" t="s">
        <v>1101</v>
      </c>
      <c r="C14" s="3246"/>
      <c r="D14" s="1301"/>
      <c r="E14" s="1301"/>
      <c r="F14" s="1302"/>
      <c r="G14" s="1303"/>
      <c r="H14" s="1310"/>
      <c r="I14" s="1300">
        <f>ROUND(D14*E14*F14*G14/10000,0)</f>
        <v>0</v>
      </c>
    </row>
    <row r="15" spans="1:9">
      <c r="A15" s="3245"/>
      <c r="B15" s="3247" t="s">
        <v>1092</v>
      </c>
      <c r="C15" s="3247"/>
      <c r="D15" s="1305"/>
      <c r="E15" s="1305">
        <f>SUM(E12:E14)</f>
        <v>0</v>
      </c>
      <c r="F15" s="1306"/>
      <c r="G15" s="1303"/>
      <c r="H15" s="1310"/>
      <c r="I15" s="1311">
        <f>SUM(I12:I14)</f>
        <v>0</v>
      </c>
    </row>
    <row r="16" spans="1:9" ht="24">
      <c r="A16" s="3245" t="s">
        <v>1102</v>
      </c>
      <c r="B16" s="3246" t="s">
        <v>1103</v>
      </c>
      <c r="C16" s="3246"/>
      <c r="D16" s="1301" t="s">
        <v>1079</v>
      </c>
      <c r="E16" s="1312" t="s">
        <v>1104</v>
      </c>
      <c r="F16" s="1302" t="s">
        <v>1105</v>
      </c>
      <c r="G16" s="1303" t="s">
        <v>1083</v>
      </c>
      <c r="H16" s="1309" t="s">
        <v>1098</v>
      </c>
      <c r="I16" s="1300" t="s">
        <v>1084</v>
      </c>
    </row>
    <row r="17" spans="1:9" ht="14.25">
      <c r="A17" s="3245"/>
      <c r="B17" s="3246" t="s">
        <v>1106</v>
      </c>
      <c r="C17" s="3246"/>
      <c r="D17" s="1301"/>
      <c r="E17" s="1301"/>
      <c r="F17" s="1302"/>
      <c r="G17" s="1303"/>
      <c r="H17" s="1313"/>
      <c r="I17" s="1314">
        <f>ROUND(D17*E17*F17*G17/10000,0)</f>
        <v>0</v>
      </c>
    </row>
    <row r="18" spans="1:9" ht="14.25">
      <c r="A18" s="3245"/>
      <c r="B18" s="3246" t="s">
        <v>1107</v>
      </c>
      <c r="C18" s="3246"/>
      <c r="D18" s="1301"/>
      <c r="E18" s="1301"/>
      <c r="F18" s="1302"/>
      <c r="G18" s="1303"/>
      <c r="H18" s="1313"/>
      <c r="I18" s="1314">
        <f>ROUND(D18*E18*F18*G18/10000,0)</f>
        <v>0</v>
      </c>
    </row>
    <row r="19" spans="1:9" ht="14.25">
      <c r="A19" s="3245"/>
      <c r="B19" s="3246" t="s">
        <v>1108</v>
      </c>
      <c r="C19" s="3246"/>
      <c r="D19" s="1301"/>
      <c r="E19" s="1301"/>
      <c r="F19" s="1302"/>
      <c r="G19" s="1303"/>
      <c r="H19" s="1313"/>
      <c r="I19" s="1314">
        <f>ROUND(D19*E19*F19*G19/10000,0)</f>
        <v>0</v>
      </c>
    </row>
    <row r="20" spans="1:9">
      <c r="A20" s="3245"/>
      <c r="B20" s="3247" t="s">
        <v>1092</v>
      </c>
      <c r="C20" s="3247"/>
      <c r="D20" s="1305">
        <f>SUM(D17:D19)</f>
        <v>0</v>
      </c>
      <c r="E20" s="1305"/>
      <c r="F20" s="1306"/>
      <c r="G20" s="1303"/>
      <c r="H20" s="1310"/>
      <c r="I20" s="1311">
        <f>SUM(I17:I19)</f>
        <v>0</v>
      </c>
    </row>
    <row r="21" spans="1:9">
      <c r="A21" s="3245" t="s">
        <v>1109</v>
      </c>
      <c r="B21" s="3249"/>
      <c r="C21" s="3249"/>
      <c r="D21" s="3249"/>
      <c r="E21" s="3249"/>
      <c r="F21" s="3249"/>
      <c r="G21" s="3249"/>
      <c r="H21" s="1762">
        <v>0.1</v>
      </c>
      <c r="I21" s="1308">
        <f>ROUND(I10*H21,0)</f>
        <v>0</v>
      </c>
    </row>
    <row r="22" spans="1:9" ht="14.25">
      <c r="A22" s="3250" t="s">
        <v>1110</v>
      </c>
      <c r="B22" s="3251"/>
      <c r="C22" s="3252"/>
      <c r="D22" s="1315" t="s">
        <v>1111</v>
      </c>
      <c r="E22" s="1315" t="s">
        <v>1112</v>
      </c>
      <c r="F22" s="1316" t="s">
        <v>1113</v>
      </c>
      <c r="G22" s="1316" t="s">
        <v>1114</v>
      </c>
      <c r="H22" s="1309" t="s">
        <v>1115</v>
      </c>
      <c r="I22" s="1300" t="s">
        <v>1116</v>
      </c>
    </row>
    <row r="23" spans="1:9" ht="14.25" thickBot="1">
      <c r="A23" s="3253"/>
      <c r="B23" s="3254"/>
      <c r="C23" s="3255"/>
      <c r="D23" s="1317"/>
      <c r="E23" s="1317"/>
      <c r="F23" s="1317"/>
      <c r="G23" s="1318"/>
      <c r="H23" s="1319"/>
      <c r="I23" s="1320">
        <f>ROUND(E23*D23*F23*(1-G23)/10000,0)</f>
        <v>0</v>
      </c>
    </row>
    <row r="26" spans="1:9">
      <c r="A26" s="1321" t="s">
        <v>1117</v>
      </c>
      <c r="B26" s="1321"/>
      <c r="C26" s="1321"/>
      <c r="D26" s="1321"/>
      <c r="E26" s="3256">
        <f>C27-C30-C31-C32</f>
        <v>0</v>
      </c>
      <c r="F26" s="3256"/>
      <c r="G26" s="3256"/>
      <c r="H26" s="1734" t="s">
        <v>1341</v>
      </c>
    </row>
    <row r="27" spans="1:9">
      <c r="A27" s="1322">
        <v>1</v>
      </c>
      <c r="B27" s="1323" t="s">
        <v>1118</v>
      </c>
      <c r="C27" s="1323">
        <f>C28+C29</f>
        <v>0</v>
      </c>
      <c r="D27" s="1323"/>
      <c r="E27" s="3257"/>
      <c r="F27" s="3257"/>
      <c r="G27" s="3257"/>
    </row>
    <row r="28" spans="1:9">
      <c r="A28" s="1324" t="s">
        <v>1119</v>
      </c>
      <c r="B28" s="1323" t="s">
        <v>1120</v>
      </c>
      <c r="C28" s="1323"/>
      <c r="D28" s="1323"/>
      <c r="E28" s="3257"/>
      <c r="F28" s="3257"/>
      <c r="G28" s="3257"/>
    </row>
    <row r="29" spans="1:9">
      <c r="A29" s="1324" t="s">
        <v>1121</v>
      </c>
      <c r="B29" s="1323" t="s">
        <v>1122</v>
      </c>
      <c r="C29" s="1323"/>
      <c r="D29" s="1323"/>
      <c r="E29" s="1323" t="s">
        <v>1123</v>
      </c>
      <c r="F29" s="1323"/>
      <c r="G29" s="1323"/>
    </row>
    <row r="30" spans="1:9">
      <c r="A30" s="1322">
        <v>2</v>
      </c>
      <c r="B30" s="1323" t="s">
        <v>1124</v>
      </c>
      <c r="C30" s="1323">
        <f>C27*D30</f>
        <v>0</v>
      </c>
      <c r="D30" s="1325">
        <v>0.2</v>
      </c>
      <c r="E30" s="1323" t="s">
        <v>1125</v>
      </c>
      <c r="F30" s="1323"/>
      <c r="G30" s="1323"/>
    </row>
    <row r="31" spans="1:9">
      <c r="A31" s="1322">
        <v>3</v>
      </c>
      <c r="B31" s="1323" t="s">
        <v>1126</v>
      </c>
      <c r="C31" s="1323">
        <f>C25*D31</f>
        <v>0</v>
      </c>
      <c r="D31" s="1325">
        <v>0.15</v>
      </c>
      <c r="E31" s="1323" t="s">
        <v>1127</v>
      </c>
      <c r="F31" s="1323"/>
      <c r="G31" s="1323"/>
    </row>
    <row r="32" spans="1:9">
      <c r="A32" s="1322">
        <v>4</v>
      </c>
      <c r="B32" s="1323" t="s">
        <v>1128</v>
      </c>
      <c r="C32" s="1323">
        <f>C27*D32</f>
        <v>0</v>
      </c>
      <c r="D32" s="1325">
        <v>0.05</v>
      </c>
      <c r="E32" s="3248"/>
      <c r="F32" s="3248"/>
      <c r="G32" s="3248"/>
    </row>
    <row r="33" spans="1:7" hidden="1">
      <c r="A33" s="3258" t="s">
        <v>1129</v>
      </c>
      <c r="B33" s="3259"/>
      <c r="C33" s="3259"/>
      <c r="D33" s="3260"/>
      <c r="E33" s="3256"/>
      <c r="F33" s="3256"/>
      <c r="G33" s="3256"/>
    </row>
    <row r="34" spans="1:7" hidden="1">
      <c r="A34" s="1326">
        <v>1</v>
      </c>
      <c r="B34" s="1323" t="s">
        <v>1130</v>
      </c>
      <c r="C34" s="1323"/>
      <c r="D34" s="1323"/>
      <c r="E34" s="3257"/>
      <c r="F34" s="3257"/>
      <c r="G34" s="3257"/>
    </row>
    <row r="35" spans="1:7" hidden="1">
      <c r="A35" s="1326">
        <v>2</v>
      </c>
      <c r="B35" s="1323" t="s">
        <v>1131</v>
      </c>
      <c r="C35" s="1323"/>
      <c r="D35" s="1323"/>
      <c r="E35" s="3257"/>
      <c r="F35" s="3257"/>
      <c r="G35" s="3257"/>
    </row>
    <row r="36" spans="1:7" hidden="1">
      <c r="A36" s="1326">
        <v>3</v>
      </c>
      <c r="B36" s="1323" t="s">
        <v>1132</v>
      </c>
      <c r="C36" s="1323"/>
      <c r="D36" s="1323"/>
      <c r="E36" s="3257"/>
      <c r="F36" s="3257"/>
      <c r="G36" s="3257"/>
    </row>
    <row r="37" spans="1:7" hidden="1">
      <c r="A37" s="1326">
        <v>4</v>
      </c>
      <c r="B37" s="1323" t="s">
        <v>1133</v>
      </c>
      <c r="C37" s="1323"/>
      <c r="D37" s="1323"/>
      <c r="E37" s="3257"/>
      <c r="F37" s="3257"/>
      <c r="G37" s="3257"/>
    </row>
    <row r="38" spans="1:7" hidden="1">
      <c r="A38" s="3258" t="s">
        <v>1134</v>
      </c>
      <c r="B38" s="3259"/>
      <c r="C38" s="3259"/>
      <c r="D38" s="3260"/>
      <c r="E38" s="3256"/>
      <c r="F38" s="3256"/>
      <c r="G38" s="325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6"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2531</v>
      </c>
      <c r="B1" s="2576" t="s">
        <v>2645</v>
      </c>
      <c r="C1" s="1631" t="s">
        <v>2533</v>
      </c>
      <c r="D1" s="1618"/>
      <c r="E1" s="2649"/>
      <c r="F1" s="2578"/>
      <c r="G1" s="1628" t="s">
        <v>2646</v>
      </c>
      <c r="H1" s="1627"/>
      <c r="I1" s="1627"/>
      <c r="J1" s="1627"/>
      <c r="K1" s="1629"/>
      <c r="L1" s="1630"/>
      <c r="M1" s="1631"/>
      <c r="N1" s="1631"/>
      <c r="O1" s="1631"/>
      <c r="P1" s="2650"/>
      <c r="Q1" s="2651"/>
      <c r="R1" s="2651"/>
      <c r="S1" s="2651"/>
      <c r="T1" s="2651"/>
      <c r="U1" s="2651"/>
      <c r="V1" s="2651"/>
      <c r="W1" s="2651"/>
      <c r="X1" s="2651"/>
      <c r="Y1" s="2651"/>
      <c r="Z1" s="2651"/>
      <c r="AA1" s="2651"/>
      <c r="AB1" s="2651"/>
      <c r="AC1" s="2652"/>
    </row>
    <row r="2" spans="1:29" s="396" customFormat="1" ht="28.5" customHeight="1" thickTop="1">
      <c r="A2" s="1614" t="s">
        <v>2333</v>
      </c>
      <c r="B2" s="1415" t="e">
        <f ca="1">IF(C2="——",ROUND(C49*D3/10000,0),ROUND(C49*D3/10000,0)-D2)</f>
        <v>#DIV/0!</v>
      </c>
      <c r="C2" s="2580"/>
      <c r="D2" s="1363" t="e">
        <f ca="1">SUMIF(INDIRECT("'"&amp;F2&amp;"'"&amp;"!A:A"),"承租人权益价值",INDIRECT("'"&amp;F2&amp;"'"&amp;"!c:c"))</f>
        <v>#REF!</v>
      </c>
      <c r="E2" s="2581" t="s">
        <v>2334</v>
      </c>
      <c r="F2" s="2582"/>
      <c r="G2" s="1123"/>
      <c r="H2" s="1123"/>
      <c r="I2" s="1123"/>
      <c r="J2" s="1123"/>
      <c r="K2" s="1123"/>
      <c r="L2" s="1126"/>
      <c r="M2" s="1127"/>
      <c r="N2" s="1127"/>
      <c r="O2" s="1127"/>
      <c r="P2" s="2653"/>
      <c r="Q2" s="1127"/>
      <c r="R2" s="1127"/>
      <c r="S2" s="1127"/>
      <c r="T2" s="1127"/>
      <c r="U2" s="1127"/>
      <c r="V2" s="1127"/>
      <c r="W2" s="1127"/>
      <c r="X2" s="1127"/>
      <c r="Y2" s="1127"/>
      <c r="Z2" s="1127"/>
      <c r="AA2" s="1127"/>
      <c r="AB2" s="1127"/>
      <c r="AC2" s="2654"/>
    </row>
    <row r="3" spans="1:29" s="396" customFormat="1" ht="28.5" customHeight="1" thickBot="1">
      <c r="A3" s="245" t="s">
        <v>2335</v>
      </c>
      <c r="B3" s="607" t="e">
        <f ca="1">IF(C2="——",C49,ROUND(B2*10000/D3,0))</f>
        <v>#DIV/0!</v>
      </c>
      <c r="C3" s="398" t="s">
        <v>2647</v>
      </c>
      <c r="D3" s="397">
        <f>IF(D1="",'数据-汇总表'!E3,SUMIF('数据-汇总表'!$C19:$C33,D1,'数据-汇总表'!$E19:$E33))</f>
        <v>67330.170000000013</v>
      </c>
      <c r="E3" s="2655"/>
      <c r="F3" s="1124"/>
      <c r="G3" s="1123"/>
      <c r="H3" s="1123"/>
      <c r="I3" s="1123"/>
      <c r="J3" s="1123"/>
      <c r="K3" s="1125"/>
      <c r="L3" s="1126"/>
      <c r="M3" s="1127"/>
      <c r="N3" s="1127"/>
      <c r="O3" s="1127"/>
      <c r="P3" s="2653"/>
      <c r="Q3" s="1127"/>
      <c r="R3" s="1127"/>
      <c r="S3" s="1127"/>
      <c r="T3" s="1127"/>
      <c r="U3" s="1127"/>
      <c r="V3" s="1127"/>
      <c r="W3" s="1127"/>
      <c r="X3" s="1127"/>
      <c r="Y3" s="1127"/>
      <c r="Z3" s="1127"/>
      <c r="AA3" s="1127"/>
      <c r="AB3" s="1127"/>
      <c r="AC3" s="2655"/>
    </row>
    <row r="4" spans="1:29" ht="15">
      <c r="A4" s="399" t="s">
        <v>2648</v>
      </c>
      <c r="B4" s="400"/>
      <c r="C4" s="3201" t="s">
        <v>2649</v>
      </c>
      <c r="D4" s="3202"/>
      <c r="E4" s="3203" t="s">
        <v>2650</v>
      </c>
      <c r="F4" s="3204"/>
      <c r="G4" s="3201" t="s">
        <v>2651</v>
      </c>
      <c r="H4" s="3202"/>
      <c r="I4" s="3201" t="s">
        <v>2652</v>
      </c>
      <c r="J4" s="3202"/>
      <c r="K4" s="608" t="s">
        <v>2653</v>
      </c>
      <c r="L4" s="1128"/>
      <c r="M4" s="1129"/>
      <c r="N4" s="1129"/>
      <c r="O4" s="1129"/>
      <c r="P4" s="3205" t="s">
        <v>2654</v>
      </c>
      <c r="Q4" s="3206"/>
      <c r="R4" s="3186" t="s">
        <v>2650</v>
      </c>
      <c r="S4" s="3187"/>
      <c r="T4" s="3186" t="s">
        <v>2651</v>
      </c>
      <c r="U4" s="3187"/>
      <c r="V4" s="3213" t="s">
        <v>2652</v>
      </c>
      <c r="W4" s="3213"/>
      <c r="X4" s="1810"/>
      <c r="Y4" s="3186" t="s">
        <v>2654</v>
      </c>
      <c r="Z4" s="3187"/>
      <c r="AA4" s="3181" t="s">
        <v>2650</v>
      </c>
      <c r="AB4" s="3213" t="s">
        <v>2651</v>
      </c>
      <c r="AC4" s="3181" t="s">
        <v>2652</v>
      </c>
    </row>
    <row r="5" spans="1:29" ht="15">
      <c r="A5" s="402"/>
      <c r="B5" s="403"/>
      <c r="C5" s="3192" t="s">
        <v>2545</v>
      </c>
      <c r="D5" s="3193"/>
      <c r="E5" s="3261" t="s">
        <v>2546</v>
      </c>
      <c r="F5" s="3191"/>
      <c r="G5" s="3192" t="s">
        <v>2547</v>
      </c>
      <c r="H5" s="3193"/>
      <c r="I5" s="3192" t="s">
        <v>2548</v>
      </c>
      <c r="J5" s="3193"/>
      <c r="K5" s="608"/>
      <c r="L5" s="1128"/>
      <c r="M5" s="1129"/>
      <c r="N5" s="1129"/>
      <c r="O5" s="1129"/>
      <c r="P5" s="3207"/>
      <c r="Q5" s="3208"/>
      <c r="R5" s="3188"/>
      <c r="S5" s="3189"/>
      <c r="T5" s="3188"/>
      <c r="U5" s="3189"/>
      <c r="V5" s="3213"/>
      <c r="W5" s="3213"/>
      <c r="X5" s="1810"/>
      <c r="Y5" s="3188"/>
      <c r="Z5" s="3189"/>
      <c r="AA5" s="3182"/>
      <c r="AB5" s="3213"/>
      <c r="AC5" s="3182"/>
    </row>
    <row r="6" spans="1:29" ht="15.75" thickBot="1">
      <c r="A6" s="404"/>
      <c r="B6" s="405"/>
      <c r="C6" s="3194" t="s">
        <v>2549</v>
      </c>
      <c r="D6" s="3195"/>
      <c r="E6" s="3262" t="s">
        <v>2549</v>
      </c>
      <c r="F6" s="3198"/>
      <c r="G6" s="3194" t="s">
        <v>2549</v>
      </c>
      <c r="H6" s="3195"/>
      <c r="I6" s="3194" t="s">
        <v>2549</v>
      </c>
      <c r="J6" s="3195"/>
      <c r="K6" s="608" t="s">
        <v>2550</v>
      </c>
      <c r="L6" s="1128"/>
      <c r="M6" s="1129"/>
      <c r="N6" s="1129"/>
      <c r="O6" s="1129"/>
      <c r="P6" s="3209"/>
      <c r="Q6" s="3210"/>
      <c r="R6" s="3188"/>
      <c r="S6" s="3189"/>
      <c r="T6" s="3211"/>
      <c r="U6" s="3212"/>
      <c r="V6" s="3213"/>
      <c r="W6" s="3213"/>
      <c r="X6" s="1810"/>
      <c r="Y6" s="3211"/>
      <c r="Z6" s="3212"/>
      <c r="AA6" s="3183"/>
      <c r="AB6" s="3213"/>
      <c r="AC6" s="3183"/>
    </row>
    <row r="7" spans="1:29" s="115" customFormat="1" ht="15.75" thickBot="1">
      <c r="A7" s="406" t="s">
        <v>2551</v>
      </c>
      <c r="B7" s="407"/>
      <c r="C7" s="408">
        <f>'数据-取费表'!B2</f>
        <v>43056</v>
      </c>
      <c r="D7" s="409">
        <v>100</v>
      </c>
      <c r="E7" s="410"/>
      <c r="F7" s="411">
        <f>SUMIF(58:58,YEAR(E7)&amp;"-"&amp;MONTH(E7),59:59)</f>
        <v>0</v>
      </c>
      <c r="G7" s="410"/>
      <c r="H7" s="409">
        <f>SUMIF(58:58,YEAR(G7)&amp;"-"&amp;MONTH(G7),59:59)</f>
        <v>0</v>
      </c>
      <c r="I7" s="410"/>
      <c r="J7" s="409">
        <f>SUMIF(58:58,YEAR(I7)&amp;"-"&amp;MONTH(I7),59:59)</f>
        <v>0</v>
      </c>
      <c r="K7" s="609"/>
      <c r="L7" s="1130"/>
      <c r="M7" s="1131"/>
      <c r="N7" s="1131"/>
      <c r="O7" s="1131"/>
      <c r="P7" s="3184" t="s">
        <v>2552</v>
      </c>
      <c r="Q7" s="3214"/>
      <c r="R7" s="767" t="s">
        <v>17</v>
      </c>
      <c r="S7" s="768">
        <f t="shared" ref="S7:S15" si="0">F7</f>
        <v>0</v>
      </c>
      <c r="T7" s="767" t="s">
        <v>17</v>
      </c>
      <c r="U7" s="768">
        <f t="shared" ref="U7:U15" si="1">H7</f>
        <v>0</v>
      </c>
      <c r="V7" s="767" t="s">
        <v>17</v>
      </c>
      <c r="W7" s="768">
        <f t="shared" ref="W7:W15" si="2">J7</f>
        <v>0</v>
      </c>
      <c r="X7" s="769"/>
      <c r="Y7" s="3184" t="s">
        <v>2552</v>
      </c>
      <c r="Z7" s="3185"/>
      <c r="AA7" s="770" t="e">
        <f>D7/F7</f>
        <v>#DIV/0!</v>
      </c>
      <c r="AB7" s="770" t="e">
        <f>D7/H7</f>
        <v>#DIV/0!</v>
      </c>
      <c r="AC7" s="770" t="e">
        <f>D7/J7</f>
        <v>#DIV/0!</v>
      </c>
    </row>
    <row r="8" spans="1:29" s="115" customFormat="1" ht="15.75" thickBot="1">
      <c r="A8" s="406" t="s">
        <v>2553</v>
      </c>
      <c r="B8" s="407"/>
      <c r="C8" s="412" t="s">
        <v>2655</v>
      </c>
      <c r="D8" s="409">
        <v>100</v>
      </c>
      <c r="E8" s="412"/>
      <c r="F8" s="411">
        <f>SUMIF(61:61,E8,62:62)-SUMIF(61:61,C8,62:62)+100</f>
        <v>0</v>
      </c>
      <c r="G8" s="412"/>
      <c r="H8" s="409">
        <f>SUMIF(61:61,G8,62:62)-SUMIF(61:61,C8,62:62)+100</f>
        <v>0</v>
      </c>
      <c r="I8" s="412"/>
      <c r="J8" s="409">
        <f>SUMIF(61:61,I8,62:62)-SUMIF(61:61,C8,62:62)+100</f>
        <v>0</v>
      </c>
      <c r="K8" s="609"/>
      <c r="L8" s="1130"/>
      <c r="M8" s="1131"/>
      <c r="N8" s="1131"/>
      <c r="O8" s="1131"/>
      <c r="P8" s="3184" t="s">
        <v>2555</v>
      </c>
      <c r="Q8" s="3185"/>
      <c r="R8" s="767" t="s">
        <v>17</v>
      </c>
      <c r="S8" s="768">
        <f t="shared" si="0"/>
        <v>0</v>
      </c>
      <c r="T8" s="767" t="s">
        <v>17</v>
      </c>
      <c r="U8" s="768">
        <f t="shared" si="1"/>
        <v>0</v>
      </c>
      <c r="V8" s="767" t="s">
        <v>17</v>
      </c>
      <c r="W8" s="768">
        <f t="shared" si="2"/>
        <v>0</v>
      </c>
      <c r="X8" s="769"/>
      <c r="Y8" s="3184" t="s">
        <v>2555</v>
      </c>
      <c r="Z8" s="3185"/>
      <c r="AA8" s="770" t="e">
        <f t="shared" ref="AA8:AA46" si="3">D8/F8</f>
        <v>#DIV/0!</v>
      </c>
      <c r="AB8" s="770" t="e">
        <f t="shared" ref="AB8:AB46" si="4">D8/H8</f>
        <v>#DIV/0!</v>
      </c>
      <c r="AC8" s="770" t="e">
        <f t="shared" ref="AC8:AC46" si="5">D8/J8</f>
        <v>#DIV/0!</v>
      </c>
    </row>
    <row r="9" spans="1:29" s="115" customFormat="1">
      <c r="A9" s="413" t="s">
        <v>2556</v>
      </c>
      <c r="B9" s="70" t="s">
        <v>2557</v>
      </c>
      <c r="C9" s="414"/>
      <c r="D9" s="132">
        <v>100</v>
      </c>
      <c r="E9" s="415"/>
      <c r="F9" s="416">
        <f>SUMIF(63:63,E9,64:64)-SUMIF(63:63,C9,64:64)+100</f>
        <v>100</v>
      </c>
      <c r="G9" s="415"/>
      <c r="H9" s="132">
        <f>SUMIF(63:63,G9,64:64)-SUMIF(63:63,C9,64:64)+100</f>
        <v>100</v>
      </c>
      <c r="I9" s="415"/>
      <c r="J9" s="132">
        <f>SUMIF(63:63,I9,64:64)-SUMIF(63:63,C9,64:64)+100</f>
        <v>100</v>
      </c>
      <c r="K9" s="609"/>
      <c r="L9" s="1130"/>
      <c r="M9" s="1131"/>
      <c r="N9" s="1131"/>
      <c r="O9" s="1131"/>
      <c r="P9" s="3224" t="s">
        <v>2558</v>
      </c>
      <c r="Q9" s="1792" t="str">
        <f t="shared" ref="Q9:Q15" si="6">B9</f>
        <v>用途</v>
      </c>
      <c r="R9" s="767" t="s">
        <v>17</v>
      </c>
      <c r="S9" s="768">
        <f t="shared" si="0"/>
        <v>100</v>
      </c>
      <c r="T9" s="767" t="s">
        <v>17</v>
      </c>
      <c r="U9" s="768">
        <f t="shared" si="1"/>
        <v>100</v>
      </c>
      <c r="V9" s="767" t="s">
        <v>17</v>
      </c>
      <c r="W9" s="768">
        <f t="shared" si="2"/>
        <v>100</v>
      </c>
      <c r="X9" s="769"/>
      <c r="Y9" s="3058" t="s">
        <v>2559</v>
      </c>
      <c r="Z9" s="54" t="str">
        <f t="shared" ref="Z9:Z15" si="7">Q9</f>
        <v>用途</v>
      </c>
      <c r="AA9" s="770">
        <f t="shared" si="3"/>
        <v>1</v>
      </c>
      <c r="AB9" s="770">
        <f t="shared" si="4"/>
        <v>1</v>
      </c>
      <c r="AC9" s="770">
        <f t="shared" si="5"/>
        <v>1</v>
      </c>
    </row>
    <row r="10" spans="1:29" s="425" customFormat="1" ht="27">
      <c r="A10" s="419"/>
      <c r="B10" s="420" t="s">
        <v>2560</v>
      </c>
      <c r="C10" s="421"/>
      <c r="D10" s="133">
        <v>100</v>
      </c>
      <c r="E10" s="422"/>
      <c r="F10" s="423">
        <f>SUMIF(65:65,E10,66:66)-SUMIF(65:65,C10,66:66)+100</f>
        <v>100</v>
      </c>
      <c r="G10" s="421"/>
      <c r="H10" s="133">
        <f>SUMIF(65:65,G10,66:66)-SUMIF(65:65,C10,66:66)+100</f>
        <v>100</v>
      </c>
      <c r="I10" s="421"/>
      <c r="J10" s="133">
        <f>SUMIF(65:65,I10,66:66)-SUMIF(65:65,C10,66:66)+100</f>
        <v>100</v>
      </c>
      <c r="K10" s="610"/>
      <c r="L10" s="1133"/>
      <c r="M10" s="1134"/>
      <c r="N10" s="1134"/>
      <c r="O10" s="1134"/>
      <c r="P10" s="3224"/>
      <c r="Q10" s="1792" t="str">
        <f t="shared" si="6"/>
        <v>土地使用年限（年）</v>
      </c>
      <c r="R10" s="767" t="s">
        <v>17</v>
      </c>
      <c r="S10" s="768">
        <f t="shared" si="0"/>
        <v>100</v>
      </c>
      <c r="T10" s="767" t="s">
        <v>17</v>
      </c>
      <c r="U10" s="768">
        <f t="shared" si="1"/>
        <v>100</v>
      </c>
      <c r="V10" s="767" t="s">
        <v>17</v>
      </c>
      <c r="W10" s="768">
        <f t="shared" si="2"/>
        <v>100</v>
      </c>
      <c r="X10" s="769"/>
      <c r="Y10" s="3058"/>
      <c r="Z10" s="54" t="str">
        <f t="shared" si="7"/>
        <v>土地使用年限（年）</v>
      </c>
      <c r="AA10" s="770">
        <f t="shared" si="3"/>
        <v>1</v>
      </c>
      <c r="AB10" s="770">
        <f t="shared" si="4"/>
        <v>1</v>
      </c>
      <c r="AC10" s="770">
        <f t="shared" si="5"/>
        <v>1</v>
      </c>
    </row>
    <row r="11" spans="1:29" ht="15">
      <c r="A11" s="426"/>
      <c r="B11" s="420" t="s">
        <v>2561</v>
      </c>
      <c r="C11" s="427"/>
      <c r="D11" s="133">
        <v>100</v>
      </c>
      <c r="E11" s="428"/>
      <c r="F11" s="423" t="e">
        <f>LOOKUP(E11,68:68,69:69)-LOOKUP(C11,68:68,69:69)+100</f>
        <v>#N/A</v>
      </c>
      <c r="G11" s="427"/>
      <c r="H11" s="133" t="e">
        <f>LOOKUP(G11,68:68,69:69)-LOOKUP(C11,68:68,69:69)+100</f>
        <v>#N/A</v>
      </c>
      <c r="I11" s="427"/>
      <c r="J11" s="133" t="e">
        <f>LOOKUP(I11,68:68,69:69)-LOOKUP(C11,68:68,69:69)+100</f>
        <v>#N/A</v>
      </c>
      <c r="K11" s="610"/>
      <c r="L11" s="1136"/>
      <c r="M11" s="1129"/>
      <c r="N11" s="1129"/>
      <c r="O11" s="1129"/>
      <c r="P11" s="3224"/>
      <c r="Q11" s="1792" t="str">
        <f t="shared" si="6"/>
        <v>容积率</v>
      </c>
      <c r="R11" s="767" t="s">
        <v>17</v>
      </c>
      <c r="S11" s="768" t="e">
        <f t="shared" si="0"/>
        <v>#N/A</v>
      </c>
      <c r="T11" s="767" t="s">
        <v>17</v>
      </c>
      <c r="U11" s="768" t="e">
        <f t="shared" si="1"/>
        <v>#N/A</v>
      </c>
      <c r="V11" s="767" t="s">
        <v>17</v>
      </c>
      <c r="W11" s="768" t="e">
        <f t="shared" si="2"/>
        <v>#N/A</v>
      </c>
      <c r="X11" s="769"/>
      <c r="Y11" s="3058"/>
      <c r="Z11" s="54" t="str">
        <f t="shared" si="7"/>
        <v>容积率</v>
      </c>
      <c r="AA11" s="770" t="e">
        <f t="shared" si="3"/>
        <v>#N/A</v>
      </c>
      <c r="AB11" s="770" t="e">
        <f t="shared" si="4"/>
        <v>#N/A</v>
      </c>
      <c r="AC11" s="770" t="e">
        <f t="shared" si="5"/>
        <v>#N/A</v>
      </c>
    </row>
    <row r="12" spans="1:29" s="115" customFormat="1" ht="15">
      <c r="A12" s="429"/>
      <c r="B12" s="2594">
        <v>111</v>
      </c>
      <c r="C12" s="430"/>
      <c r="D12" s="431">
        <v>100</v>
      </c>
      <c r="E12" s="432"/>
      <c r="F12" s="423">
        <f>SUMIF(70:70,E12,71:71)-SUMIF(70:70,C12,71:71)+100</f>
        <v>100</v>
      </c>
      <c r="G12" s="432"/>
      <c r="H12" s="133">
        <f>SUMIF(70:70,G12,71:71)-SUMIF(70:70,C12,71:71)+100</f>
        <v>100</v>
      </c>
      <c r="I12" s="432"/>
      <c r="J12" s="133">
        <f>SUMIF(70:70,I12,71:71)-SUMIF(70:70,C12,71:71)+100</f>
        <v>100</v>
      </c>
      <c r="K12" s="611"/>
      <c r="L12" s="1130"/>
      <c r="M12" s="1131"/>
      <c r="N12" s="1131"/>
      <c r="O12" s="1131"/>
      <c r="P12" s="3224"/>
      <c r="Q12" s="1792">
        <f t="shared" si="6"/>
        <v>111</v>
      </c>
      <c r="R12" s="767" t="s">
        <v>17</v>
      </c>
      <c r="S12" s="768">
        <f t="shared" si="0"/>
        <v>100</v>
      </c>
      <c r="T12" s="767" t="s">
        <v>17</v>
      </c>
      <c r="U12" s="768">
        <f t="shared" si="1"/>
        <v>100</v>
      </c>
      <c r="V12" s="767" t="s">
        <v>17</v>
      </c>
      <c r="W12" s="768">
        <f t="shared" si="2"/>
        <v>100</v>
      </c>
      <c r="X12" s="769"/>
      <c r="Y12" s="3058"/>
      <c r="Z12" s="54">
        <f t="shared" si="7"/>
        <v>111</v>
      </c>
      <c r="AA12" s="770">
        <f>D12/F12</f>
        <v>1</v>
      </c>
      <c r="AB12" s="770">
        <f>D12/H12</f>
        <v>1</v>
      </c>
      <c r="AC12" s="770">
        <f>D12/J12</f>
        <v>1</v>
      </c>
    </row>
    <row r="13" spans="1:29" ht="15">
      <c r="A13" s="426"/>
      <c r="B13" s="2594">
        <v>111</v>
      </c>
      <c r="C13" s="432"/>
      <c r="D13" s="433">
        <v>100</v>
      </c>
      <c r="E13" s="432"/>
      <c r="F13" s="423">
        <f>SUMIF(72:72,E13,73:73)-SUMIF(72:72,C13,73:73)+100</f>
        <v>100</v>
      </c>
      <c r="G13" s="432"/>
      <c r="H13" s="433">
        <f>SUMIF(72:72,G13,73:73)-SUMIF(72:72,C13,73:73)+100</f>
        <v>100</v>
      </c>
      <c r="I13" s="432"/>
      <c r="J13" s="433">
        <f>SUMIF(72:72,I13,73:73)-SUMIF(72:72,C13,73:73)+100</f>
        <v>100</v>
      </c>
      <c r="K13" s="611"/>
      <c r="L13" s="1138"/>
      <c r="M13" s="1129"/>
      <c r="N13" s="1129"/>
      <c r="O13" s="1129"/>
      <c r="P13" s="3224"/>
      <c r="Q13" s="1792">
        <f t="shared" si="6"/>
        <v>111</v>
      </c>
      <c r="R13" s="767" t="s">
        <v>17</v>
      </c>
      <c r="S13" s="768">
        <f t="shared" si="0"/>
        <v>100</v>
      </c>
      <c r="T13" s="767" t="s">
        <v>17</v>
      </c>
      <c r="U13" s="768">
        <f t="shared" si="1"/>
        <v>100</v>
      </c>
      <c r="V13" s="767" t="s">
        <v>17</v>
      </c>
      <c r="W13" s="768">
        <f t="shared" si="2"/>
        <v>100</v>
      </c>
      <c r="X13" s="769"/>
      <c r="Y13" s="3058"/>
      <c r="Z13" s="54">
        <f t="shared" si="7"/>
        <v>111</v>
      </c>
      <c r="AA13" s="770">
        <f t="shared" si="3"/>
        <v>1</v>
      </c>
      <c r="AB13" s="770">
        <f t="shared" si="4"/>
        <v>1</v>
      </c>
      <c r="AC13" s="770">
        <f t="shared" si="5"/>
        <v>1</v>
      </c>
    </row>
    <row r="14" spans="1:29" ht="15.75" thickBot="1">
      <c r="A14" s="434"/>
      <c r="B14" s="2596">
        <v>111</v>
      </c>
      <c r="C14" s="435"/>
      <c r="D14" s="436">
        <v>100</v>
      </c>
      <c r="E14" s="432"/>
      <c r="F14" s="437">
        <f>SUMIF(74:74,E14,75:75)-SUMIF(74:74,C14,75:75)+100</f>
        <v>100</v>
      </c>
      <c r="G14" s="432"/>
      <c r="H14" s="436">
        <f>SUMIF(74:74,G14,75:75)-SUMIF(74:74,C14,75:75)+100</f>
        <v>100</v>
      </c>
      <c r="I14" s="432"/>
      <c r="J14" s="436">
        <f>SUMIF(74:74,I14,75:75)-SUMIF(74:74,C14,75:75)+100</f>
        <v>100</v>
      </c>
      <c r="K14" s="611"/>
      <c r="L14" s="1138"/>
      <c r="M14" s="1129"/>
      <c r="N14" s="1129"/>
      <c r="O14" s="1129"/>
      <c r="P14" s="3224"/>
      <c r="Q14" s="1792">
        <f t="shared" si="6"/>
        <v>111</v>
      </c>
      <c r="R14" s="767" t="s">
        <v>17</v>
      </c>
      <c r="S14" s="768">
        <f t="shared" si="0"/>
        <v>100</v>
      </c>
      <c r="T14" s="767" t="s">
        <v>17</v>
      </c>
      <c r="U14" s="768">
        <f t="shared" si="1"/>
        <v>100</v>
      </c>
      <c r="V14" s="767" t="s">
        <v>17</v>
      </c>
      <c r="W14" s="768">
        <f t="shared" si="2"/>
        <v>100</v>
      </c>
      <c r="X14" s="769"/>
      <c r="Y14" s="3058"/>
      <c r="Z14" s="54">
        <f t="shared" si="7"/>
        <v>111</v>
      </c>
      <c r="AA14" s="770">
        <f t="shared" si="3"/>
        <v>1</v>
      </c>
      <c r="AB14" s="770">
        <f t="shared" si="4"/>
        <v>1</v>
      </c>
      <c r="AC14" s="770">
        <f t="shared" si="5"/>
        <v>1</v>
      </c>
    </row>
    <row r="15" spans="1:29" ht="71.25">
      <c r="A15" s="438" t="s">
        <v>2562</v>
      </c>
      <c r="B15" s="68" t="s">
        <v>2656</v>
      </c>
      <c r="C15" s="2597"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38"/>
      <c r="M15" s="1129"/>
      <c r="N15" s="1129"/>
      <c r="O15" s="1129"/>
      <c r="P15" s="3233" t="s">
        <v>2563</v>
      </c>
      <c r="Q15" s="1807" t="str">
        <f t="shared" si="6"/>
        <v>商业繁华度</v>
      </c>
      <c r="R15" s="771" t="s">
        <v>17</v>
      </c>
      <c r="S15" s="772">
        <f t="shared" si="0"/>
        <v>100</v>
      </c>
      <c r="T15" s="771" t="s">
        <v>17</v>
      </c>
      <c r="U15" s="772">
        <f t="shared" si="1"/>
        <v>100</v>
      </c>
      <c r="V15" s="771" t="s">
        <v>17</v>
      </c>
      <c r="W15" s="772">
        <f t="shared" si="2"/>
        <v>100</v>
      </c>
      <c r="X15" s="1810"/>
      <c r="Y15" s="3215" t="s">
        <v>2563</v>
      </c>
      <c r="Z15" s="1811" t="str">
        <f t="shared" si="7"/>
        <v>商业繁华度</v>
      </c>
      <c r="AA15" s="1808">
        <f t="shared" si="3"/>
        <v>1</v>
      </c>
      <c r="AB15" s="1808">
        <f t="shared" si="4"/>
        <v>1</v>
      </c>
      <c r="AC15" s="1808">
        <f t="shared" si="5"/>
        <v>1</v>
      </c>
    </row>
    <row r="16" spans="1:29" ht="15">
      <c r="A16" s="426"/>
      <c r="B16" s="444"/>
      <c r="C16" s="445"/>
      <c r="D16" s="446"/>
      <c r="E16" s="445"/>
      <c r="F16" s="447"/>
      <c r="G16" s="445"/>
      <c r="H16" s="448"/>
      <c r="I16" s="445"/>
      <c r="J16" s="446"/>
      <c r="K16" s="613"/>
      <c r="L16" s="1138"/>
      <c r="M16" s="1129"/>
      <c r="N16" s="1129"/>
      <c r="O16" s="1129"/>
      <c r="P16" s="3234"/>
      <c r="Q16" s="1807"/>
      <c r="R16" s="771"/>
      <c r="S16" s="772"/>
      <c r="T16" s="771"/>
      <c r="U16" s="772"/>
      <c r="V16" s="771"/>
      <c r="W16" s="772"/>
      <c r="X16" s="1810"/>
      <c r="Y16" s="3216"/>
      <c r="Z16" s="1811"/>
      <c r="AA16" s="1808">
        <v>1</v>
      </c>
      <c r="AB16" s="1808">
        <v>1</v>
      </c>
      <c r="AC16" s="1808">
        <v>1</v>
      </c>
    </row>
    <row r="17" spans="1:29" ht="85.5">
      <c r="A17" s="426"/>
      <c r="B17" s="449" t="s">
        <v>2103</v>
      </c>
      <c r="C17" s="2601"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8"/>
      <c r="M17" s="1129"/>
      <c r="N17" s="1129"/>
      <c r="O17" s="1129"/>
      <c r="P17" s="3234"/>
      <c r="Q17" s="1807" t="str">
        <f>B17</f>
        <v>交通便捷度</v>
      </c>
      <c r="R17" s="771" t="s">
        <v>17</v>
      </c>
      <c r="S17" s="772">
        <f>F17</f>
        <v>100</v>
      </c>
      <c r="T17" s="771" t="s">
        <v>17</v>
      </c>
      <c r="U17" s="772">
        <f>H17</f>
        <v>100</v>
      </c>
      <c r="V17" s="771" t="s">
        <v>17</v>
      </c>
      <c r="W17" s="772">
        <f>J17</f>
        <v>100</v>
      </c>
      <c r="X17" s="1810"/>
      <c r="Y17" s="3216"/>
      <c r="Z17" s="1811" t="str">
        <f>Q17</f>
        <v>交通便捷度</v>
      </c>
      <c r="AA17" s="1808">
        <f t="shared" si="3"/>
        <v>1</v>
      </c>
      <c r="AB17" s="1808">
        <f t="shared" si="4"/>
        <v>1</v>
      </c>
      <c r="AC17" s="1808">
        <f t="shared" si="5"/>
        <v>1</v>
      </c>
    </row>
    <row r="18" spans="1:29" ht="15">
      <c r="A18" s="426"/>
      <c r="B18" s="454"/>
      <c r="C18" s="2602"/>
      <c r="D18" s="448"/>
      <c r="E18" s="2604"/>
      <c r="F18" s="451"/>
      <c r="G18" s="2603"/>
      <c r="H18" s="446"/>
      <c r="I18" s="2604"/>
      <c r="J18" s="446"/>
      <c r="K18" s="613"/>
      <c r="L18" s="1138"/>
      <c r="M18" s="1129"/>
      <c r="N18" s="1129"/>
      <c r="O18" s="1129"/>
      <c r="P18" s="3234"/>
      <c r="Q18" s="1807"/>
      <c r="R18" s="771"/>
      <c r="S18" s="772"/>
      <c r="T18" s="771"/>
      <c r="U18" s="772"/>
      <c r="V18" s="771"/>
      <c r="W18" s="772"/>
      <c r="X18" s="1810"/>
      <c r="Y18" s="3216"/>
      <c r="Z18" s="1811"/>
      <c r="AA18" s="1808">
        <v>1</v>
      </c>
      <c r="AB18" s="1808">
        <v>1</v>
      </c>
      <c r="AC18" s="1808">
        <v>1</v>
      </c>
    </row>
    <row r="19" spans="1:29" ht="42.75">
      <c r="A19" s="426"/>
      <c r="B19" s="449" t="s">
        <v>2657</v>
      </c>
      <c r="C19" s="2601"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38"/>
      <c r="M19" s="1129"/>
      <c r="N19" s="1129"/>
      <c r="O19" s="1129"/>
      <c r="P19" s="3234"/>
      <c r="Q19" s="1807" t="str">
        <f>B19</f>
        <v>公共配套设施</v>
      </c>
      <c r="R19" s="771" t="s">
        <v>17</v>
      </c>
      <c r="S19" s="772">
        <f>F19</f>
        <v>100</v>
      </c>
      <c r="T19" s="771" t="s">
        <v>17</v>
      </c>
      <c r="U19" s="772">
        <f>H19</f>
        <v>100</v>
      </c>
      <c r="V19" s="771" t="s">
        <v>17</v>
      </c>
      <c r="W19" s="772">
        <f>J19</f>
        <v>100</v>
      </c>
      <c r="X19" s="1810"/>
      <c r="Y19" s="3216"/>
      <c r="Z19" s="1811" t="str">
        <f>Q19</f>
        <v>公共配套设施</v>
      </c>
      <c r="AA19" s="1808">
        <f t="shared" si="3"/>
        <v>1</v>
      </c>
      <c r="AB19" s="1808">
        <f t="shared" si="4"/>
        <v>1</v>
      </c>
      <c r="AC19" s="1808">
        <f t="shared" si="5"/>
        <v>1</v>
      </c>
    </row>
    <row r="20" spans="1:29" ht="15">
      <c r="A20" s="426"/>
      <c r="B20" s="454"/>
      <c r="C20" s="445"/>
      <c r="D20" s="446"/>
      <c r="E20" s="2599"/>
      <c r="F20" s="447"/>
      <c r="G20" s="2598"/>
      <c r="H20" s="446"/>
      <c r="I20" s="2599"/>
      <c r="J20" s="446"/>
      <c r="K20" s="613"/>
      <c r="L20" s="1138"/>
      <c r="M20" s="1129"/>
      <c r="N20" s="1129"/>
      <c r="O20" s="1129"/>
      <c r="P20" s="3234"/>
      <c r="Q20" s="1807"/>
      <c r="R20" s="771"/>
      <c r="S20" s="772"/>
      <c r="T20" s="771"/>
      <c r="U20" s="772"/>
      <c r="V20" s="771"/>
      <c r="W20" s="772"/>
      <c r="X20" s="1810"/>
      <c r="Y20" s="3216"/>
      <c r="Z20" s="1811"/>
      <c r="AA20" s="1808">
        <v>1</v>
      </c>
      <c r="AB20" s="1808">
        <v>1</v>
      </c>
      <c r="AC20" s="1808">
        <v>1</v>
      </c>
    </row>
    <row r="21" spans="1:29" ht="28.5">
      <c r="A21" s="426"/>
      <c r="B21" s="1382" t="s">
        <v>2658</v>
      </c>
      <c r="C21" s="2601"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38"/>
      <c r="M21" s="1129"/>
      <c r="N21" s="1129"/>
      <c r="O21" s="1129"/>
      <c r="P21" s="3234"/>
      <c r="Q21" s="1807" t="str">
        <f>B21</f>
        <v>基础设施水平</v>
      </c>
      <c r="R21" s="771" t="s">
        <v>17</v>
      </c>
      <c r="S21" s="772">
        <f>F21</f>
        <v>100</v>
      </c>
      <c r="T21" s="771" t="s">
        <v>17</v>
      </c>
      <c r="U21" s="772">
        <f>H21</f>
        <v>100</v>
      </c>
      <c r="V21" s="771" t="s">
        <v>17</v>
      </c>
      <c r="W21" s="772">
        <f>J21</f>
        <v>100</v>
      </c>
      <c r="X21" s="1810"/>
      <c r="Y21" s="3216"/>
      <c r="Z21" s="1811" t="str">
        <f>Q21</f>
        <v>基础设施水平</v>
      </c>
      <c r="AA21" s="1808">
        <f t="shared" ref="AA21" si="8">D21/F21</f>
        <v>1</v>
      </c>
      <c r="AB21" s="1808">
        <f t="shared" ref="AB21" si="9">D21/H21</f>
        <v>1</v>
      </c>
      <c r="AC21" s="1808">
        <f t="shared" ref="AC21" si="10">D21/J21</f>
        <v>1</v>
      </c>
    </row>
    <row r="22" spans="1:29" ht="15">
      <c r="A22" s="426"/>
      <c r="B22" s="1382"/>
      <c r="C22" s="2602"/>
      <c r="D22" s="446"/>
      <c r="E22" s="445"/>
      <c r="F22" s="447"/>
      <c r="G22" s="445"/>
      <c r="H22" s="446"/>
      <c r="I22" s="445"/>
      <c r="J22" s="446"/>
      <c r="K22" s="1381"/>
      <c r="L22" s="1138"/>
      <c r="M22" s="1129"/>
      <c r="N22" s="1129"/>
      <c r="O22" s="1129"/>
      <c r="P22" s="3234"/>
      <c r="Q22" s="1807"/>
      <c r="R22" s="771"/>
      <c r="S22" s="772"/>
      <c r="T22" s="771"/>
      <c r="U22" s="772"/>
      <c r="V22" s="771"/>
      <c r="W22" s="772"/>
      <c r="X22" s="1810"/>
      <c r="Y22" s="3216"/>
      <c r="Z22" s="1811"/>
      <c r="AA22" s="1808">
        <v>1</v>
      </c>
      <c r="AB22" s="1808">
        <v>1</v>
      </c>
      <c r="AC22" s="1808">
        <v>1</v>
      </c>
    </row>
    <row r="23" spans="1:29" ht="57">
      <c r="A23" s="426"/>
      <c r="B23" s="449" t="s">
        <v>2108</v>
      </c>
      <c r="C23" s="2656"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8"/>
      <c r="M23" s="1129"/>
      <c r="N23" s="1129"/>
      <c r="O23" s="1129"/>
      <c r="P23" s="3234"/>
      <c r="Q23" s="1807" t="str">
        <f>B23</f>
        <v>自然及人文环境</v>
      </c>
      <c r="R23" s="771" t="s">
        <v>17</v>
      </c>
      <c r="S23" s="772">
        <f>F23</f>
        <v>100</v>
      </c>
      <c r="T23" s="771" t="s">
        <v>17</v>
      </c>
      <c r="U23" s="772">
        <f>H23</f>
        <v>100</v>
      </c>
      <c r="V23" s="771" t="s">
        <v>17</v>
      </c>
      <c r="W23" s="772">
        <f>J23</f>
        <v>100</v>
      </c>
      <c r="X23" s="1810"/>
      <c r="Y23" s="3216"/>
      <c r="Z23" s="1811" t="str">
        <f>Q23</f>
        <v>自然及人文环境</v>
      </c>
      <c r="AA23" s="1808">
        <f t="shared" si="3"/>
        <v>1</v>
      </c>
      <c r="AB23" s="1808">
        <f t="shared" si="4"/>
        <v>1</v>
      </c>
      <c r="AC23" s="1808">
        <f t="shared" si="5"/>
        <v>1</v>
      </c>
    </row>
    <row r="24" spans="1:29" ht="15">
      <c r="A24" s="426"/>
      <c r="B24" s="454"/>
      <c r="C24" s="445"/>
      <c r="D24" s="446"/>
      <c r="E24" s="2599"/>
      <c r="F24" s="447"/>
      <c r="G24" s="2598"/>
      <c r="H24" s="446"/>
      <c r="I24" s="2599"/>
      <c r="J24" s="446"/>
      <c r="K24" s="613"/>
      <c r="L24" s="1138"/>
      <c r="M24" s="1129"/>
      <c r="N24" s="1129"/>
      <c r="O24" s="1129"/>
      <c r="P24" s="3234"/>
      <c r="Q24" s="1807"/>
      <c r="R24" s="771"/>
      <c r="S24" s="772"/>
      <c r="T24" s="771"/>
      <c r="U24" s="772"/>
      <c r="V24" s="771"/>
      <c r="W24" s="772"/>
      <c r="X24" s="1810"/>
      <c r="Y24" s="3216"/>
      <c r="Z24" s="1811"/>
      <c r="AA24" s="1808">
        <v>1</v>
      </c>
      <c r="AB24" s="1808">
        <v>1</v>
      </c>
      <c r="AC24" s="1808">
        <v>1</v>
      </c>
    </row>
    <row r="25" spans="1:29" ht="15">
      <c r="A25" s="426"/>
      <c r="B25" s="420" t="s">
        <v>2659</v>
      </c>
      <c r="C25" s="614"/>
      <c r="D25" s="433">
        <v>100</v>
      </c>
      <c r="E25" s="614"/>
      <c r="F25" s="459">
        <f>SUMIF(86:86,E25,87:87)-SUMIF(86:86,C25,87:87)+100</f>
        <v>100</v>
      </c>
      <c r="G25" s="614"/>
      <c r="H25" s="433">
        <f>SUMIF(86:86,G25,87:87)-SUMIF(86:86,C25,87:87)+100</f>
        <v>100</v>
      </c>
      <c r="I25" s="614"/>
      <c r="J25" s="433">
        <f>SUMIF(86:86,I25,87:87)-SUMIF(86:86,C25,87:87)+100</f>
        <v>100</v>
      </c>
      <c r="K25" s="610"/>
      <c r="L25" s="1138"/>
      <c r="M25" s="1129"/>
      <c r="N25" s="1129"/>
      <c r="O25" s="1129"/>
      <c r="P25" s="3234"/>
      <c r="Q25" s="1807" t="str">
        <f t="shared" ref="Q25:Q46" si="11">B25</f>
        <v>临街状况</v>
      </c>
      <c r="R25" s="771" t="s">
        <v>17</v>
      </c>
      <c r="S25" s="772">
        <f>F25</f>
        <v>100</v>
      </c>
      <c r="T25" s="771" t="s">
        <v>17</v>
      </c>
      <c r="U25" s="772">
        <f>H25</f>
        <v>100</v>
      </c>
      <c r="V25" s="771" t="s">
        <v>17</v>
      </c>
      <c r="W25" s="772">
        <f>J25</f>
        <v>100</v>
      </c>
      <c r="X25" s="1810"/>
      <c r="Y25" s="3216"/>
      <c r="Z25" s="1811" t="str">
        <f>Q25</f>
        <v>临街状况</v>
      </c>
      <c r="AA25" s="1808">
        <f t="shared" si="3"/>
        <v>1</v>
      </c>
      <c r="AB25" s="1808">
        <f t="shared" si="4"/>
        <v>1</v>
      </c>
      <c r="AC25" s="1808">
        <f t="shared" si="5"/>
        <v>1</v>
      </c>
    </row>
    <row r="26" spans="1:29" ht="15">
      <c r="A26" s="426"/>
      <c r="B26" s="1384" t="s">
        <v>2660</v>
      </c>
      <c r="C26" s="432"/>
      <c r="D26" s="433">
        <v>100</v>
      </c>
      <c r="E26" s="432"/>
      <c r="F26" s="459">
        <f>SUMIF(88:88,E26,89:89)-SUMIF(88:88,C26,89:89)+100</f>
        <v>100</v>
      </c>
      <c r="G26" s="432"/>
      <c r="H26" s="433">
        <f>SUMIF(88:88,G26,89:89)-SUMIF(88:88,C26,89:89)+100</f>
        <v>100</v>
      </c>
      <c r="I26" s="432"/>
      <c r="J26" s="433">
        <f>SUMIF(88:88,I26,89:89)-SUMIF(88:88,C26,89:89)+100</f>
        <v>100</v>
      </c>
      <c r="K26" s="611"/>
      <c r="L26" s="1138"/>
      <c r="M26" s="1129"/>
      <c r="N26" s="1129"/>
      <c r="O26" s="1129"/>
      <c r="P26" s="3234"/>
      <c r="Q26" s="1807" t="str">
        <f t="shared" si="11"/>
        <v>平面位置/可视性</v>
      </c>
      <c r="R26" s="771" t="s">
        <v>17</v>
      </c>
      <c r="S26" s="772">
        <f>F26</f>
        <v>100</v>
      </c>
      <c r="T26" s="771" t="s">
        <v>17</v>
      </c>
      <c r="U26" s="772">
        <f>H26</f>
        <v>100</v>
      </c>
      <c r="V26" s="771" t="s">
        <v>17</v>
      </c>
      <c r="W26" s="772">
        <f>J26</f>
        <v>100</v>
      </c>
      <c r="X26" s="1810"/>
      <c r="Y26" s="3216"/>
      <c r="Z26" s="1811" t="str">
        <f>Q26</f>
        <v>平面位置/可视性</v>
      </c>
      <c r="AA26" s="1808">
        <f t="shared" si="3"/>
        <v>1</v>
      </c>
      <c r="AB26" s="1808">
        <f t="shared" si="4"/>
        <v>1</v>
      </c>
      <c r="AC26" s="1808">
        <f t="shared" si="5"/>
        <v>1</v>
      </c>
    </row>
    <row r="27" spans="1:29" s="115" customFormat="1" ht="15">
      <c r="A27" s="429"/>
      <c r="B27" s="449" t="s">
        <v>2661</v>
      </c>
      <c r="C27" s="2657"/>
      <c r="D27" s="460">
        <v>100</v>
      </c>
      <c r="E27" s="2657"/>
      <c r="F27" s="462">
        <f>SUMIF(90:90,E27,91:91)-SUMIF(90:90,C27,91:91)+100</f>
        <v>100</v>
      </c>
      <c r="G27" s="2657"/>
      <c r="H27" s="460">
        <f>SUMIF(90:90,G27,91:91)-SUMIF(90:90,C27,91:91)+100</f>
        <v>100</v>
      </c>
      <c r="I27" s="2657"/>
      <c r="J27" s="460">
        <f>SUMIF(90:90,I27,91:91)-SUMIF(90:90,C27,91:91)+100</f>
        <v>100</v>
      </c>
      <c r="K27" s="610"/>
      <c r="L27" s="1130"/>
      <c r="M27" s="1131"/>
      <c r="N27" s="1131"/>
      <c r="O27" s="1131"/>
      <c r="P27" s="3234"/>
      <c r="Q27" s="1792" t="str">
        <f t="shared" si="11"/>
        <v>人流量</v>
      </c>
      <c r="R27" s="767" t="s">
        <v>17</v>
      </c>
      <c r="S27" s="768">
        <f>F27</f>
        <v>100</v>
      </c>
      <c r="T27" s="767" t="s">
        <v>17</v>
      </c>
      <c r="U27" s="768">
        <f>H27</f>
        <v>100</v>
      </c>
      <c r="V27" s="767" t="s">
        <v>17</v>
      </c>
      <c r="W27" s="768">
        <f>J27</f>
        <v>100</v>
      </c>
      <c r="X27" s="769"/>
      <c r="Y27" s="3216"/>
      <c r="Z27" s="54" t="str">
        <f>Q27</f>
        <v>人流量</v>
      </c>
      <c r="AA27" s="1808">
        <f>D27/F27</f>
        <v>1</v>
      </c>
      <c r="AB27" s="1808">
        <f>D27/H27</f>
        <v>1</v>
      </c>
      <c r="AC27" s="1808">
        <f>D27/J27</f>
        <v>1</v>
      </c>
    </row>
    <row r="28" spans="1:29" ht="15">
      <c r="A28" s="426"/>
      <c r="B28" s="420" t="s">
        <v>2662</v>
      </c>
      <c r="C28" s="614"/>
      <c r="D28" s="433">
        <v>100</v>
      </c>
      <c r="E28" s="614"/>
      <c r="F28" s="459">
        <f>SUMIF(92:92,E28,93:93)-SUMIF(92:92,C28,93:93)+100</f>
        <v>100</v>
      </c>
      <c r="G28" s="614"/>
      <c r="H28" s="433">
        <f>SUMIF(92:92,G28,93:93)-SUMIF(92:92,C28,93:93)+100</f>
        <v>100</v>
      </c>
      <c r="I28" s="614"/>
      <c r="J28" s="433">
        <f>SUMIF(92:92,I28,93:93)-SUMIF(92:92,C28,93:93)+100</f>
        <v>100</v>
      </c>
      <c r="K28" s="611"/>
      <c r="L28" s="1138"/>
      <c r="M28" s="1129"/>
      <c r="N28" s="1129"/>
      <c r="O28" s="1129"/>
      <c r="P28" s="3234"/>
      <c r="Q28" s="1807" t="str">
        <f t="shared" si="11"/>
        <v>楼层</v>
      </c>
      <c r="R28" s="771" t="s">
        <v>17</v>
      </c>
      <c r="S28" s="772">
        <f t="shared" ref="S28:S46" si="12">F28</f>
        <v>100</v>
      </c>
      <c r="T28" s="771" t="s">
        <v>17</v>
      </c>
      <c r="U28" s="772">
        <f t="shared" ref="U28:U46" si="13">H28</f>
        <v>100</v>
      </c>
      <c r="V28" s="771" t="s">
        <v>17</v>
      </c>
      <c r="W28" s="772">
        <f t="shared" ref="W28:W46" si="14">J28</f>
        <v>100</v>
      </c>
      <c r="X28" s="1810"/>
      <c r="Y28" s="3216"/>
      <c r="Z28" s="1811" t="str">
        <f t="shared" ref="Z28:Z46" si="15">Q28</f>
        <v>楼层</v>
      </c>
      <c r="AA28" s="1808">
        <f t="shared" si="3"/>
        <v>1</v>
      </c>
      <c r="AB28" s="1808">
        <f t="shared" si="4"/>
        <v>1</v>
      </c>
      <c r="AC28" s="1808">
        <f t="shared" si="5"/>
        <v>1</v>
      </c>
    </row>
    <row r="29" spans="1:29" ht="15">
      <c r="A29" s="426"/>
      <c r="B29" s="1384">
        <v>111</v>
      </c>
      <c r="C29" s="432"/>
      <c r="D29" s="433">
        <v>100</v>
      </c>
      <c r="E29" s="432"/>
      <c r="F29" s="459">
        <f>SUMIF(94:94,E29,95:95)-SUMIF(94:94,C29,95:95)+100</f>
        <v>100</v>
      </c>
      <c r="G29" s="432"/>
      <c r="H29" s="433">
        <f>SUMIF(94:94,G29,95:95)-SUMIF(94:94,C29,95:95)+100</f>
        <v>100</v>
      </c>
      <c r="I29" s="432"/>
      <c r="J29" s="433">
        <f>SUMIF(94:94,I29,95:95)-SUMIF(94:94,C29,95:95)+100</f>
        <v>100</v>
      </c>
      <c r="K29" s="611"/>
      <c r="L29" s="1138"/>
      <c r="M29" s="1129"/>
      <c r="N29" s="1129"/>
      <c r="O29" s="1129"/>
      <c r="P29" s="3234"/>
      <c r="Q29" s="1807">
        <f t="shared" si="11"/>
        <v>111</v>
      </c>
      <c r="R29" s="771" t="s">
        <v>17</v>
      </c>
      <c r="S29" s="772">
        <f t="shared" si="12"/>
        <v>100</v>
      </c>
      <c r="T29" s="771" t="s">
        <v>17</v>
      </c>
      <c r="U29" s="772">
        <f t="shared" si="13"/>
        <v>100</v>
      </c>
      <c r="V29" s="771" t="s">
        <v>17</v>
      </c>
      <c r="W29" s="772">
        <f t="shared" si="14"/>
        <v>100</v>
      </c>
      <c r="X29" s="1810"/>
      <c r="Y29" s="3216"/>
      <c r="Z29" s="1811">
        <f t="shared" si="15"/>
        <v>111</v>
      </c>
      <c r="AA29" s="1808">
        <f t="shared" si="3"/>
        <v>1</v>
      </c>
      <c r="AB29" s="1808">
        <f t="shared" si="4"/>
        <v>1</v>
      </c>
      <c r="AC29" s="1808">
        <f t="shared" si="5"/>
        <v>1</v>
      </c>
    </row>
    <row r="30" spans="1:29" ht="15">
      <c r="A30" s="426"/>
      <c r="B30" s="1384">
        <v>111</v>
      </c>
      <c r="C30" s="432"/>
      <c r="D30" s="433">
        <v>100</v>
      </c>
      <c r="E30" s="432"/>
      <c r="F30" s="459">
        <f>SUMIF(96:96,E30,97:97)-SUMIF(96:96,C30,97:97)+100</f>
        <v>100</v>
      </c>
      <c r="G30" s="432"/>
      <c r="H30" s="433">
        <f>SUMIF(96:96,G30,97:97)-SUMIF(96:96,C30,97:97)+100</f>
        <v>100</v>
      </c>
      <c r="I30" s="432"/>
      <c r="J30" s="433">
        <f>SUMIF(96:96,I30,97:97)-SUMIF(96:96,C30,97:97)+100</f>
        <v>100</v>
      </c>
      <c r="K30" s="611"/>
      <c r="L30" s="1138"/>
      <c r="M30" s="1129"/>
      <c r="N30" s="1129"/>
      <c r="O30" s="1129"/>
      <c r="P30" s="3234"/>
      <c r="Q30" s="1807">
        <f t="shared" si="11"/>
        <v>111</v>
      </c>
      <c r="R30" s="771" t="s">
        <v>17</v>
      </c>
      <c r="S30" s="772">
        <f t="shared" si="12"/>
        <v>100</v>
      </c>
      <c r="T30" s="771" t="s">
        <v>17</v>
      </c>
      <c r="U30" s="772">
        <f t="shared" si="13"/>
        <v>100</v>
      </c>
      <c r="V30" s="771" t="s">
        <v>17</v>
      </c>
      <c r="W30" s="772">
        <f t="shared" si="14"/>
        <v>100</v>
      </c>
      <c r="X30" s="1810"/>
      <c r="Y30" s="3216"/>
      <c r="Z30" s="1811">
        <f t="shared" si="15"/>
        <v>111</v>
      </c>
      <c r="AA30" s="1808">
        <f t="shared" si="3"/>
        <v>1</v>
      </c>
      <c r="AB30" s="1808">
        <f t="shared" si="4"/>
        <v>1</v>
      </c>
      <c r="AC30" s="1808">
        <f t="shared" si="5"/>
        <v>1</v>
      </c>
    </row>
    <row r="31" spans="1:29" ht="15.75" thickBot="1">
      <c r="A31" s="434"/>
      <c r="B31" s="1384">
        <v>111</v>
      </c>
      <c r="C31" s="435"/>
      <c r="D31" s="436">
        <v>100</v>
      </c>
      <c r="E31" s="432"/>
      <c r="F31" s="437">
        <f>SUMIF(98:98,E31,99:99)-SUMIF(98:98,C31,99:99)+100</f>
        <v>100</v>
      </c>
      <c r="G31" s="432"/>
      <c r="H31" s="436">
        <f>SUMIF(98:98,G31,99:99)-SUMIF(98:98,C31,99:99)+100</f>
        <v>100</v>
      </c>
      <c r="I31" s="432"/>
      <c r="J31" s="436">
        <f>SUMIF(98:98,I31,99:99)-SUMIF(98:98,C31,99:99)+100</f>
        <v>100</v>
      </c>
      <c r="K31" s="611"/>
      <c r="L31" s="1138"/>
      <c r="M31" s="1129"/>
      <c r="N31" s="1129"/>
      <c r="O31" s="1129"/>
      <c r="P31" s="3234"/>
      <c r="Q31" s="1807">
        <f t="shared" si="11"/>
        <v>111</v>
      </c>
      <c r="R31" s="771" t="s">
        <v>17</v>
      </c>
      <c r="S31" s="772">
        <f t="shared" si="12"/>
        <v>100</v>
      </c>
      <c r="T31" s="771" t="s">
        <v>17</v>
      </c>
      <c r="U31" s="772">
        <f t="shared" si="13"/>
        <v>100</v>
      </c>
      <c r="V31" s="771" t="s">
        <v>17</v>
      </c>
      <c r="W31" s="772">
        <f t="shared" si="14"/>
        <v>100</v>
      </c>
      <c r="X31" s="1810"/>
      <c r="Y31" s="3216"/>
      <c r="Z31" s="1811">
        <f t="shared" si="15"/>
        <v>111</v>
      </c>
      <c r="AA31" s="1808">
        <f t="shared" si="3"/>
        <v>1</v>
      </c>
      <c r="AB31" s="1808">
        <f t="shared" si="4"/>
        <v>1</v>
      </c>
      <c r="AC31" s="1808">
        <f t="shared" si="5"/>
        <v>1</v>
      </c>
    </row>
    <row r="32" spans="1:29" ht="15">
      <c r="A32" s="438" t="s">
        <v>2566</v>
      </c>
      <c r="B32" s="70" t="s">
        <v>2663</v>
      </c>
      <c r="C32" s="2611"/>
      <c r="D32" s="465">
        <v>100</v>
      </c>
      <c r="E32" s="2611"/>
      <c r="F32" s="459">
        <f>SUMIF(100:100,E32,101:101)-SUMIF(100:100,C32,101:101)+100</f>
        <v>100</v>
      </c>
      <c r="G32" s="2611"/>
      <c r="H32" s="433">
        <f>SUMIF(100:100,G32,101:101)-SUMIF(100:100,C32,101:101)+100</f>
        <v>100</v>
      </c>
      <c r="I32" s="2611"/>
      <c r="J32" s="465">
        <f>SUMIF(100:100,I32,101:101)-SUMIF(100:100,C32,101:101)+100</f>
        <v>100</v>
      </c>
      <c r="K32" s="610"/>
      <c r="L32" s="1138"/>
      <c r="M32" s="1129"/>
      <c r="N32" s="1129"/>
      <c r="O32" s="1129"/>
      <c r="P32" s="3235" t="s">
        <v>2568</v>
      </c>
      <c r="Q32" s="1807" t="str">
        <f t="shared" si="11"/>
        <v>商业类型</v>
      </c>
      <c r="R32" s="771" t="s">
        <v>17</v>
      </c>
      <c r="S32" s="772">
        <f t="shared" si="12"/>
        <v>100</v>
      </c>
      <c r="T32" s="771" t="s">
        <v>17</v>
      </c>
      <c r="U32" s="772">
        <f t="shared" si="13"/>
        <v>100</v>
      </c>
      <c r="V32" s="771" t="s">
        <v>17</v>
      </c>
      <c r="W32" s="772">
        <f t="shared" si="14"/>
        <v>100</v>
      </c>
      <c r="X32" s="1810"/>
      <c r="Y32" s="3218" t="s">
        <v>2568</v>
      </c>
      <c r="Z32" s="1811" t="str">
        <f t="shared" si="15"/>
        <v>商业类型</v>
      </c>
      <c r="AA32" s="1808">
        <f t="shared" si="3"/>
        <v>1</v>
      </c>
      <c r="AB32" s="1808">
        <f t="shared" si="4"/>
        <v>1</v>
      </c>
      <c r="AC32" s="1808">
        <f t="shared" si="5"/>
        <v>1</v>
      </c>
    </row>
    <row r="33" spans="1:29" s="469" customFormat="1" ht="15">
      <c r="A33" s="466"/>
      <c r="B33" s="420" t="s">
        <v>2569</v>
      </c>
      <c r="C33" s="467"/>
      <c r="D33" s="133">
        <v>100</v>
      </c>
      <c r="E33" s="428"/>
      <c r="F33" s="423" t="e">
        <f>LOOKUP(E33,103:103,104:104)-LOOKUP(C33,103:103,104:104)+100</f>
        <v>#N/A</v>
      </c>
      <c r="G33" s="427"/>
      <c r="H33" s="133" t="e">
        <f>LOOKUP(G33,103:103,104:104)-LOOKUP(C33,103:103,104:104)+100</f>
        <v>#N/A</v>
      </c>
      <c r="I33" s="427"/>
      <c r="J33" s="133" t="e">
        <f>LOOKUP(I33,103:103,104:104)-LOOKUP(C33,103:103,104:104)+100</f>
        <v>#N/A</v>
      </c>
      <c r="K33" s="611"/>
      <c r="L33" s="1136"/>
      <c r="M33" s="1139"/>
      <c r="N33" s="1139"/>
      <c r="O33" s="1139"/>
      <c r="P33" s="3236"/>
      <c r="Q33" s="773" t="str">
        <f t="shared" si="11"/>
        <v>项目建筑规模</v>
      </c>
      <c r="R33" s="774" t="s">
        <v>17</v>
      </c>
      <c r="S33" s="775" t="e">
        <f t="shared" si="12"/>
        <v>#N/A</v>
      </c>
      <c r="T33" s="774" t="s">
        <v>17</v>
      </c>
      <c r="U33" s="775" t="e">
        <f t="shared" si="13"/>
        <v>#N/A</v>
      </c>
      <c r="V33" s="774" t="s">
        <v>17</v>
      </c>
      <c r="W33" s="775" t="e">
        <f t="shared" si="14"/>
        <v>#N/A</v>
      </c>
      <c r="X33" s="776"/>
      <c r="Y33" s="3218"/>
      <c r="Z33" s="777" t="str">
        <f t="shared" si="15"/>
        <v>项目建筑规模</v>
      </c>
      <c r="AA33" s="1808" t="e">
        <f t="shared" si="3"/>
        <v>#N/A</v>
      </c>
      <c r="AB33" s="1808" t="e">
        <f t="shared" si="4"/>
        <v>#N/A</v>
      </c>
      <c r="AC33" s="1808" t="e">
        <f t="shared" si="5"/>
        <v>#N/A</v>
      </c>
    </row>
    <row r="34" spans="1:29" ht="15">
      <c r="A34" s="470"/>
      <c r="B34" s="420" t="s">
        <v>2570</v>
      </c>
      <c r="C34" s="2612"/>
      <c r="D34" s="433">
        <v>100</v>
      </c>
      <c r="E34" s="2612"/>
      <c r="F34" s="459">
        <f>SUMIF(105:105,E34,106:106)-SUMIF(105:105,C34,106:106)+100</f>
        <v>100</v>
      </c>
      <c r="G34" s="2612"/>
      <c r="H34" s="433">
        <f>SUMIF(105:105,G34,106:106)-SUMIF(105:105,C34,106:106)+100</f>
        <v>100</v>
      </c>
      <c r="I34" s="2612"/>
      <c r="J34" s="433">
        <f>SUMIF(105:105,I34,106:106)-SUMIF(105:105,C34,106:106)+100</f>
        <v>100</v>
      </c>
      <c r="K34" s="610"/>
      <c r="L34" s="1138"/>
      <c r="M34" s="1129"/>
      <c r="N34" s="1129"/>
      <c r="O34" s="1129"/>
      <c r="P34" s="3236"/>
      <c r="Q34" s="1807" t="str">
        <f t="shared" si="11"/>
        <v>建筑结构</v>
      </c>
      <c r="R34" s="771" t="s">
        <v>17</v>
      </c>
      <c r="S34" s="772">
        <f t="shared" si="12"/>
        <v>100</v>
      </c>
      <c r="T34" s="771" t="s">
        <v>17</v>
      </c>
      <c r="U34" s="772">
        <f t="shared" si="13"/>
        <v>100</v>
      </c>
      <c r="V34" s="771" t="s">
        <v>17</v>
      </c>
      <c r="W34" s="772">
        <f t="shared" si="14"/>
        <v>100</v>
      </c>
      <c r="X34" s="1810"/>
      <c r="Y34" s="3218"/>
      <c r="Z34" s="1811" t="str">
        <f t="shared" si="15"/>
        <v>建筑结构</v>
      </c>
      <c r="AA34" s="1808">
        <f t="shared" si="3"/>
        <v>1</v>
      </c>
      <c r="AB34" s="1808">
        <f t="shared" si="4"/>
        <v>1</v>
      </c>
      <c r="AC34" s="1808">
        <f t="shared" si="5"/>
        <v>1</v>
      </c>
    </row>
    <row r="35" spans="1:29" ht="15">
      <c r="A35" s="470"/>
      <c r="B35" s="420" t="s">
        <v>2664</v>
      </c>
      <c r="C35" s="2607"/>
      <c r="D35" s="433">
        <v>100</v>
      </c>
      <c r="E35" s="2607"/>
      <c r="F35" s="459">
        <f>SUMIF(107:107,E35,108:108)-SUMIF(107:107,C35,108:108)+100</f>
        <v>100</v>
      </c>
      <c r="G35" s="2607"/>
      <c r="H35" s="433">
        <f>SUMIF(107:107,G35,108:108)-SUMIF(107:107,C35,108:108)+100</f>
        <v>100</v>
      </c>
      <c r="I35" s="2607"/>
      <c r="J35" s="433">
        <f>SUMIF(107:107,I35,108:108)-SUMIF(107:107,C35,108:108)+100</f>
        <v>100</v>
      </c>
      <c r="K35" s="610"/>
      <c r="L35" s="1138"/>
      <c r="M35" s="1129"/>
      <c r="N35" s="1129"/>
      <c r="O35" s="1129"/>
      <c r="P35" s="3236"/>
      <c r="Q35" s="1807" t="str">
        <f t="shared" si="11"/>
        <v>公共部分装修</v>
      </c>
      <c r="R35" s="771" t="s">
        <v>17</v>
      </c>
      <c r="S35" s="772">
        <f t="shared" si="12"/>
        <v>100</v>
      </c>
      <c r="T35" s="771" t="s">
        <v>17</v>
      </c>
      <c r="U35" s="772">
        <f t="shared" si="13"/>
        <v>100</v>
      </c>
      <c r="V35" s="771" t="s">
        <v>17</v>
      </c>
      <c r="W35" s="772">
        <f t="shared" si="14"/>
        <v>100</v>
      </c>
      <c r="X35" s="1810"/>
      <c r="Y35" s="3218"/>
      <c r="Z35" s="1811" t="str">
        <f t="shared" si="15"/>
        <v>公共部分装修</v>
      </c>
      <c r="AA35" s="1808">
        <f t="shared" si="3"/>
        <v>1</v>
      </c>
      <c r="AB35" s="1808">
        <f t="shared" si="4"/>
        <v>1</v>
      </c>
      <c r="AC35" s="1808">
        <f t="shared" si="5"/>
        <v>1</v>
      </c>
    </row>
    <row r="36" spans="1:29" ht="15">
      <c r="A36" s="470"/>
      <c r="B36" s="420" t="s">
        <v>2665</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8"/>
      <c r="M36" s="1129"/>
      <c r="N36" s="1129"/>
      <c r="O36" s="1129"/>
      <c r="P36" s="3236"/>
      <c r="Q36" s="1807" t="str">
        <f t="shared" si="11"/>
        <v>成新度</v>
      </c>
      <c r="R36" s="771" t="s">
        <v>17</v>
      </c>
      <c r="S36" s="772" t="e">
        <f t="shared" si="12"/>
        <v>#N/A</v>
      </c>
      <c r="T36" s="771" t="s">
        <v>17</v>
      </c>
      <c r="U36" s="772" t="e">
        <f t="shared" si="13"/>
        <v>#N/A</v>
      </c>
      <c r="V36" s="771" t="s">
        <v>17</v>
      </c>
      <c r="W36" s="772" t="e">
        <f t="shared" si="14"/>
        <v>#N/A</v>
      </c>
      <c r="X36" s="1810"/>
      <c r="Y36" s="3218"/>
      <c r="Z36" s="1811" t="str">
        <f t="shared" si="15"/>
        <v>成新度</v>
      </c>
      <c r="AA36" s="1808" t="e">
        <f t="shared" si="3"/>
        <v>#N/A</v>
      </c>
      <c r="AB36" s="1808" t="e">
        <f t="shared" si="4"/>
        <v>#N/A</v>
      </c>
      <c r="AC36" s="1808" t="e">
        <f t="shared" si="5"/>
        <v>#N/A</v>
      </c>
    </row>
    <row r="37" spans="1:29" s="115" customFormat="1" ht="15">
      <c r="A37" s="471"/>
      <c r="B37" s="420" t="s">
        <v>2666</v>
      </c>
      <c r="C37" s="2607"/>
      <c r="D37" s="133">
        <v>100</v>
      </c>
      <c r="E37" s="2607"/>
      <c r="F37" s="459">
        <f>SUMIF(112:112,E37,113:113)-SUMIF(112:112,C37,113:113)+100</f>
        <v>100</v>
      </c>
      <c r="G37" s="2607"/>
      <c r="H37" s="433">
        <f>SUMIF(112:112,G37,113:113)-SUMIF(112:112,C37,113:113)+100</f>
        <v>100</v>
      </c>
      <c r="I37" s="2607"/>
      <c r="J37" s="433">
        <f>SUMIF(112:112,I37,113:113)-SUMIF(112:112,C37,113:113)+100</f>
        <v>100</v>
      </c>
      <c r="K37" s="610"/>
      <c r="L37" s="1130"/>
      <c r="M37" s="1131"/>
      <c r="N37" s="1131"/>
      <c r="O37" s="1131"/>
      <c r="P37" s="3236"/>
      <c r="Q37" s="1792" t="str">
        <f t="shared" si="11"/>
        <v>市政基础设施</v>
      </c>
      <c r="R37" s="767" t="s">
        <v>17</v>
      </c>
      <c r="S37" s="768">
        <f t="shared" si="12"/>
        <v>100</v>
      </c>
      <c r="T37" s="767" t="s">
        <v>17</v>
      </c>
      <c r="U37" s="768">
        <f t="shared" si="13"/>
        <v>100</v>
      </c>
      <c r="V37" s="767" t="s">
        <v>17</v>
      </c>
      <c r="W37" s="768">
        <f t="shared" si="14"/>
        <v>100</v>
      </c>
      <c r="X37" s="769"/>
      <c r="Y37" s="3218"/>
      <c r="Z37" s="54" t="str">
        <f t="shared" si="15"/>
        <v>市政基础设施</v>
      </c>
      <c r="AA37" s="770">
        <f t="shared" si="3"/>
        <v>1</v>
      </c>
      <c r="AB37" s="770">
        <f t="shared" si="4"/>
        <v>1</v>
      </c>
      <c r="AC37" s="770">
        <f t="shared" si="5"/>
        <v>1</v>
      </c>
    </row>
    <row r="38" spans="1:29" ht="15">
      <c r="A38" s="470"/>
      <c r="B38" s="420" t="s">
        <v>2667</v>
      </c>
      <c r="C38" s="2607"/>
      <c r="D38" s="433">
        <v>100</v>
      </c>
      <c r="E38" s="2607"/>
      <c r="F38" s="459">
        <f>SUMIF(114:114,E38,115:115)-SUMIF(114:114,C38,115:115)+100</f>
        <v>100</v>
      </c>
      <c r="G38" s="2607"/>
      <c r="H38" s="433">
        <f>SUMIF(114:114,G38,115:115)-SUMIF(114:114,C38,115:115)+100</f>
        <v>100</v>
      </c>
      <c r="I38" s="2607"/>
      <c r="J38" s="433">
        <f>SUMIF(114:114,I38,115:115)-SUMIF(114:114,C38,115:115)+100</f>
        <v>100</v>
      </c>
      <c r="K38" s="610"/>
      <c r="L38" s="1138"/>
      <c r="M38" s="1129"/>
      <c r="N38" s="1129"/>
      <c r="O38" s="1129"/>
      <c r="P38" s="3236" t="s">
        <v>2568</v>
      </c>
      <c r="Q38" s="1807" t="str">
        <f t="shared" si="11"/>
        <v>业态</v>
      </c>
      <c r="R38" s="771" t="s">
        <v>17</v>
      </c>
      <c r="S38" s="772">
        <f t="shared" si="12"/>
        <v>100</v>
      </c>
      <c r="T38" s="771" t="s">
        <v>17</v>
      </c>
      <c r="U38" s="772">
        <f t="shared" si="13"/>
        <v>100</v>
      </c>
      <c r="V38" s="771" t="s">
        <v>17</v>
      </c>
      <c r="W38" s="772">
        <f t="shared" si="14"/>
        <v>100</v>
      </c>
      <c r="X38" s="1810"/>
      <c r="Y38" s="3218" t="s">
        <v>2568</v>
      </c>
      <c r="Z38" s="1811" t="str">
        <f t="shared" si="15"/>
        <v>业态</v>
      </c>
      <c r="AA38" s="1808">
        <f t="shared" si="3"/>
        <v>1</v>
      </c>
      <c r="AB38" s="1808">
        <f t="shared" si="4"/>
        <v>1</v>
      </c>
      <c r="AC38" s="1808">
        <f t="shared" si="5"/>
        <v>1</v>
      </c>
    </row>
    <row r="39" spans="1:29" ht="15">
      <c r="A39" s="470"/>
      <c r="B39" s="420" t="s">
        <v>2668</v>
      </c>
      <c r="C39" s="2607"/>
      <c r="D39" s="433">
        <v>100</v>
      </c>
      <c r="E39" s="2607"/>
      <c r="F39" s="459">
        <f>SUMIF(116:116,E39,117:117)-SUMIF(116:116,C39,117:117)+100</f>
        <v>100</v>
      </c>
      <c r="G39" s="2607"/>
      <c r="H39" s="433">
        <f>SUMIF(116:116,G39,117:117)-SUMIF(116:116,C39,117:117)+100</f>
        <v>100</v>
      </c>
      <c r="I39" s="2607"/>
      <c r="J39" s="433">
        <f>SUMIF(116:116,I39,117:117)-SUMIF(116:116,C39,117:117)+100</f>
        <v>100</v>
      </c>
      <c r="K39" s="610"/>
      <c r="L39" s="1138"/>
      <c r="M39" s="1129"/>
      <c r="N39" s="1129"/>
      <c r="O39" s="1129"/>
      <c r="P39" s="3236"/>
      <c r="Q39" s="1807" t="str">
        <f t="shared" si="11"/>
        <v>层高</v>
      </c>
      <c r="R39" s="771" t="s">
        <v>17</v>
      </c>
      <c r="S39" s="772">
        <f t="shared" si="12"/>
        <v>100</v>
      </c>
      <c r="T39" s="771" t="s">
        <v>17</v>
      </c>
      <c r="U39" s="772">
        <f t="shared" si="13"/>
        <v>100</v>
      </c>
      <c r="V39" s="771" t="s">
        <v>17</v>
      </c>
      <c r="W39" s="772">
        <f t="shared" si="14"/>
        <v>100</v>
      </c>
      <c r="X39" s="1810"/>
      <c r="Y39" s="3218"/>
      <c r="Z39" s="1811" t="str">
        <f t="shared" si="15"/>
        <v>层高</v>
      </c>
      <c r="AA39" s="1808">
        <f t="shared" si="3"/>
        <v>1</v>
      </c>
      <c r="AB39" s="1808">
        <f t="shared" si="4"/>
        <v>1</v>
      </c>
      <c r="AC39" s="1808">
        <f t="shared" si="5"/>
        <v>1</v>
      </c>
    </row>
    <row r="40" spans="1:29" ht="15">
      <c r="A40" s="470"/>
      <c r="B40" s="420" t="s">
        <v>2669</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8"/>
      <c r="M40" s="1129"/>
      <c r="N40" s="1129"/>
      <c r="O40" s="1129"/>
      <c r="P40" s="3236"/>
      <c r="Q40" s="1807" t="str">
        <f t="shared" si="11"/>
        <v>单套建筑面积</v>
      </c>
      <c r="R40" s="771" t="s">
        <v>17</v>
      </c>
      <c r="S40" s="772">
        <f t="shared" si="12"/>
        <v>100</v>
      </c>
      <c r="T40" s="771" t="s">
        <v>17</v>
      </c>
      <c r="U40" s="772">
        <f t="shared" si="13"/>
        <v>100</v>
      </c>
      <c r="V40" s="771" t="s">
        <v>17</v>
      </c>
      <c r="W40" s="772">
        <f t="shared" si="14"/>
        <v>100</v>
      </c>
      <c r="X40" s="1810"/>
      <c r="Y40" s="3218"/>
      <c r="Z40" s="1811" t="str">
        <f t="shared" si="15"/>
        <v>单套建筑面积</v>
      </c>
      <c r="AA40" s="1808">
        <f t="shared" si="3"/>
        <v>1</v>
      </c>
      <c r="AB40" s="1808">
        <f t="shared" si="4"/>
        <v>1</v>
      </c>
      <c r="AC40" s="1808">
        <f t="shared" si="5"/>
        <v>1</v>
      </c>
    </row>
    <row r="41" spans="1:29" s="469" customFormat="1" ht="15">
      <c r="A41" s="466"/>
      <c r="B41" s="1809" t="s">
        <v>2670</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6"/>
      <c r="M41" s="1139"/>
      <c r="N41" s="1139"/>
      <c r="O41" s="1139"/>
      <c r="P41" s="3236"/>
      <c r="Q41" s="773" t="str">
        <f t="shared" si="11"/>
        <v>进深比</v>
      </c>
      <c r="R41" s="774" t="s">
        <v>17</v>
      </c>
      <c r="S41" s="775">
        <f t="shared" si="12"/>
        <v>100</v>
      </c>
      <c r="T41" s="774" t="s">
        <v>17</v>
      </c>
      <c r="U41" s="775">
        <f t="shared" si="13"/>
        <v>100</v>
      </c>
      <c r="V41" s="774" t="s">
        <v>17</v>
      </c>
      <c r="W41" s="775">
        <f t="shared" si="14"/>
        <v>100</v>
      </c>
      <c r="X41" s="776"/>
      <c r="Y41" s="3218"/>
      <c r="Z41" s="777" t="str">
        <f t="shared" si="15"/>
        <v>进深比</v>
      </c>
      <c r="AA41" s="1808">
        <f t="shared" si="3"/>
        <v>1</v>
      </c>
      <c r="AB41" s="1808">
        <f t="shared" si="4"/>
        <v>1</v>
      </c>
      <c r="AC41" s="1808">
        <f t="shared" si="5"/>
        <v>1</v>
      </c>
    </row>
    <row r="42" spans="1:29" ht="15">
      <c r="A42" s="470"/>
      <c r="B42" s="420" t="s">
        <v>2671</v>
      </c>
      <c r="C42" s="2607"/>
      <c r="D42" s="433">
        <v>100</v>
      </c>
      <c r="E42" s="2607"/>
      <c r="F42" s="459">
        <f>SUMIF(122:122,E42,123:123)-SUMIF(122:122,C42,123:123)+100</f>
        <v>100</v>
      </c>
      <c r="G42" s="2607"/>
      <c r="H42" s="433">
        <f>SUMIF(122:122,G42,123:123)-SUMIF(122:122,C42,123:123)+100</f>
        <v>100</v>
      </c>
      <c r="I42" s="2607"/>
      <c r="J42" s="433">
        <f>SUMIF(122:122,I42,123:123)-SUMIF(122:122,C42,123:123)+100</f>
        <v>100</v>
      </c>
      <c r="K42" s="610"/>
      <c r="L42" s="1138"/>
      <c r="M42" s="1129"/>
      <c r="N42" s="1129"/>
      <c r="O42" s="1129"/>
      <c r="P42" s="3236"/>
      <c r="Q42" s="1807" t="str">
        <f t="shared" si="11"/>
        <v>内部装修</v>
      </c>
      <c r="R42" s="771" t="s">
        <v>17</v>
      </c>
      <c r="S42" s="772">
        <f t="shared" si="12"/>
        <v>100</v>
      </c>
      <c r="T42" s="771" t="s">
        <v>17</v>
      </c>
      <c r="U42" s="772">
        <f t="shared" si="13"/>
        <v>100</v>
      </c>
      <c r="V42" s="771" t="s">
        <v>17</v>
      </c>
      <c r="W42" s="772">
        <f t="shared" si="14"/>
        <v>100</v>
      </c>
      <c r="X42" s="1810"/>
      <c r="Y42" s="3218"/>
      <c r="Z42" s="1811" t="str">
        <f t="shared" si="15"/>
        <v>内部装修</v>
      </c>
      <c r="AA42" s="1808">
        <f t="shared" si="3"/>
        <v>1</v>
      </c>
      <c r="AB42" s="1808">
        <f t="shared" si="4"/>
        <v>1</v>
      </c>
      <c r="AC42" s="1808">
        <f t="shared" si="5"/>
        <v>1</v>
      </c>
    </row>
    <row r="43" spans="1:29" ht="15">
      <c r="A43" s="470"/>
      <c r="B43" s="420" t="s">
        <v>2579</v>
      </c>
      <c r="C43" s="2607"/>
      <c r="D43" s="433">
        <v>100</v>
      </c>
      <c r="E43" s="2607"/>
      <c r="F43" s="459">
        <f>SUMIF(124:124,E43,125:125)-SUMIF(124:124,C43,125:125)+100</f>
        <v>100</v>
      </c>
      <c r="G43" s="2607"/>
      <c r="H43" s="433">
        <f>SUMIF(124:124,G43,125:125)-SUMIF(124:124,C43,125:125)+100</f>
        <v>100</v>
      </c>
      <c r="I43" s="2607"/>
      <c r="J43" s="433">
        <f>SUMIF(124:124,I43,125:125)-SUMIF(124:124,C43,125:125)+100</f>
        <v>100</v>
      </c>
      <c r="K43" s="610"/>
      <c r="L43" s="1138"/>
      <c r="M43" s="1129"/>
      <c r="N43" s="1129"/>
      <c r="O43" s="1129"/>
      <c r="P43" s="3236"/>
      <c r="Q43" s="1807" t="str">
        <f t="shared" si="11"/>
        <v>内部装修维护情况</v>
      </c>
      <c r="R43" s="771" t="s">
        <v>17</v>
      </c>
      <c r="S43" s="772">
        <f t="shared" si="12"/>
        <v>100</v>
      </c>
      <c r="T43" s="771" t="s">
        <v>17</v>
      </c>
      <c r="U43" s="772">
        <f t="shared" si="13"/>
        <v>100</v>
      </c>
      <c r="V43" s="771" t="s">
        <v>17</v>
      </c>
      <c r="W43" s="772">
        <f t="shared" si="14"/>
        <v>100</v>
      </c>
      <c r="X43" s="1810"/>
      <c r="Y43" s="3218"/>
      <c r="Z43" s="1811" t="str">
        <f t="shared" si="15"/>
        <v>内部装修维护情况</v>
      </c>
      <c r="AA43" s="1808">
        <f t="shared" si="3"/>
        <v>1</v>
      </c>
      <c r="AB43" s="1808">
        <f t="shared" si="4"/>
        <v>1</v>
      </c>
      <c r="AC43" s="1808">
        <f t="shared" si="5"/>
        <v>1</v>
      </c>
    </row>
    <row r="44" spans="1:29" s="115" customFormat="1" ht="15">
      <c r="A44" s="471"/>
      <c r="B44" s="1384">
        <v>111</v>
      </c>
      <c r="C44" s="467"/>
      <c r="D44" s="133">
        <v>100</v>
      </c>
      <c r="E44" s="432"/>
      <c r="F44" s="423">
        <f>SUMIF(126:126,E44,127:127)-SUMIF(126:126,C44,127:127)+100</f>
        <v>100</v>
      </c>
      <c r="G44" s="432"/>
      <c r="H44" s="133">
        <f>SUMIF(126:126,G44,127:127)-SUMIF(126:126,C44,127:127)+100</f>
        <v>100</v>
      </c>
      <c r="I44" s="432"/>
      <c r="J44" s="133">
        <f>SUMIF(126:126,I44,127:127)-SUMIF(126:126,C44,127:127)+100</f>
        <v>100</v>
      </c>
      <c r="K44" s="611"/>
      <c r="L44" s="1130"/>
      <c r="M44" s="1131"/>
      <c r="N44" s="1131"/>
      <c r="O44" s="1131"/>
      <c r="P44" s="3236"/>
      <c r="Q44" s="1792">
        <f t="shared" si="11"/>
        <v>111</v>
      </c>
      <c r="R44" s="767" t="s">
        <v>17</v>
      </c>
      <c r="S44" s="768">
        <f t="shared" si="12"/>
        <v>100</v>
      </c>
      <c r="T44" s="767" t="s">
        <v>17</v>
      </c>
      <c r="U44" s="768">
        <f t="shared" si="13"/>
        <v>100</v>
      </c>
      <c r="V44" s="767" t="s">
        <v>17</v>
      </c>
      <c r="W44" s="768">
        <f t="shared" si="14"/>
        <v>100</v>
      </c>
      <c r="X44" s="769"/>
      <c r="Y44" s="3218"/>
      <c r="Z44" s="54">
        <f t="shared" si="15"/>
        <v>111</v>
      </c>
      <c r="AA44" s="770">
        <f t="shared" si="3"/>
        <v>1</v>
      </c>
      <c r="AB44" s="770">
        <f t="shared" si="4"/>
        <v>1</v>
      </c>
      <c r="AC44" s="770">
        <f t="shared" si="5"/>
        <v>1</v>
      </c>
    </row>
    <row r="45" spans="1:29" ht="15">
      <c r="A45" s="470"/>
      <c r="B45" s="1384">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8"/>
      <c r="M45" s="1129"/>
      <c r="N45" s="1129"/>
      <c r="O45" s="1129"/>
      <c r="P45" s="3236"/>
      <c r="Q45" s="1807">
        <f t="shared" si="11"/>
        <v>111</v>
      </c>
      <c r="R45" s="771" t="s">
        <v>17</v>
      </c>
      <c r="S45" s="772">
        <f t="shared" si="12"/>
        <v>100</v>
      </c>
      <c r="T45" s="771" t="s">
        <v>17</v>
      </c>
      <c r="U45" s="772">
        <f t="shared" si="13"/>
        <v>100</v>
      </c>
      <c r="V45" s="771" t="s">
        <v>17</v>
      </c>
      <c r="W45" s="772">
        <f t="shared" si="14"/>
        <v>100</v>
      </c>
      <c r="X45" s="1810"/>
      <c r="Y45" s="3218"/>
      <c r="Z45" s="1811">
        <f t="shared" si="15"/>
        <v>111</v>
      </c>
      <c r="AA45" s="1808">
        <f t="shared" si="3"/>
        <v>1</v>
      </c>
      <c r="AB45" s="1808">
        <f t="shared" si="4"/>
        <v>1</v>
      </c>
      <c r="AC45" s="1808">
        <f t="shared" si="5"/>
        <v>1</v>
      </c>
    </row>
    <row r="46" spans="1:29" ht="15.75" thickBot="1">
      <c r="A46" s="476"/>
      <c r="B46" s="2596">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8"/>
      <c r="M46" s="1129"/>
      <c r="N46" s="1129"/>
      <c r="O46" s="1129"/>
      <c r="P46" s="3237"/>
      <c r="Q46" s="1807">
        <f t="shared" si="11"/>
        <v>111</v>
      </c>
      <c r="R46" s="771" t="s">
        <v>17</v>
      </c>
      <c r="S46" s="772">
        <f t="shared" si="12"/>
        <v>100</v>
      </c>
      <c r="T46" s="771" t="s">
        <v>17</v>
      </c>
      <c r="U46" s="772">
        <f t="shared" si="13"/>
        <v>100</v>
      </c>
      <c r="V46" s="771" t="s">
        <v>17</v>
      </c>
      <c r="W46" s="772">
        <f t="shared" si="14"/>
        <v>100</v>
      </c>
      <c r="X46" s="1810"/>
      <c r="Y46" s="3238"/>
      <c r="Z46" s="1811">
        <f t="shared" si="15"/>
        <v>111</v>
      </c>
      <c r="AA46" s="1808">
        <f t="shared" si="3"/>
        <v>1</v>
      </c>
      <c r="AB46" s="1808">
        <f t="shared" si="4"/>
        <v>1</v>
      </c>
      <c r="AC46" s="1808">
        <f t="shared" si="5"/>
        <v>1</v>
      </c>
    </row>
    <row r="47" spans="1:29" ht="15">
      <c r="A47" s="477" t="s">
        <v>2580</v>
      </c>
      <c r="B47" s="478"/>
      <c r="C47" s="1404" t="s">
        <v>1</v>
      </c>
      <c r="D47" s="1405"/>
      <c r="E47" s="1406"/>
      <c r="F47" s="1407"/>
      <c r="G47" s="1408"/>
      <c r="H47" s="1409"/>
      <c r="I47" s="1406"/>
      <c r="J47" s="1409"/>
      <c r="K47" s="780"/>
      <c r="L47" s="1141"/>
      <c r="M47" s="1142"/>
      <c r="N47" s="1129"/>
      <c r="O47" s="1142"/>
      <c r="P47" s="3200" t="str">
        <f>A47</f>
        <v>成交单价（元/平方米）</v>
      </c>
      <c r="Q47" s="3200"/>
      <c r="R47" s="3213">
        <f>E47</f>
        <v>0</v>
      </c>
      <c r="S47" s="3213"/>
      <c r="T47" s="3213">
        <f>G47</f>
        <v>0</v>
      </c>
      <c r="U47" s="3213"/>
      <c r="V47" s="3213">
        <f>I47</f>
        <v>0</v>
      </c>
      <c r="W47" s="3213"/>
      <c r="X47" s="756"/>
      <c r="Y47" s="778"/>
      <c r="Z47" s="756"/>
      <c r="AA47" s="756"/>
      <c r="AB47" s="756"/>
      <c r="AC47" s="756"/>
    </row>
    <row r="48" spans="1:29" ht="15.75" thickBot="1">
      <c r="A48" s="484" t="s">
        <v>2672</v>
      </c>
      <c r="B48" s="485"/>
      <c r="C48" s="1410" t="e">
        <f>R49</f>
        <v>#DIV/0!</v>
      </c>
      <c r="D48" s="1411"/>
      <c r="E48" s="1412" t="e">
        <f>R48</f>
        <v>#DIV/0!</v>
      </c>
      <c r="F48" s="1412"/>
      <c r="G48" s="1410" t="e">
        <f>T48</f>
        <v>#DIV/0!</v>
      </c>
      <c r="H48" s="1411"/>
      <c r="I48" s="1412" t="e">
        <f>V48</f>
        <v>#DIV/0!</v>
      </c>
      <c r="J48" s="1411"/>
      <c r="K48" s="781"/>
      <c r="L48" s="1141"/>
      <c r="M48" s="1142"/>
      <c r="N48" s="1129"/>
      <c r="O48" s="1142"/>
      <c r="P48" s="3200" t="str">
        <f>A48</f>
        <v>比较价值（元/平方米）</v>
      </c>
      <c r="Q48" s="3200"/>
      <c r="R48" s="3231" t="e">
        <f>IF(F1="售价",ROUND(PRODUCT(R47,AA7:AA46),0),ROUND(PRODUCT(R47,AA7:AA46),1))</f>
        <v>#DIV/0!</v>
      </c>
      <c r="S48" s="3231"/>
      <c r="T48" s="3231" t="e">
        <f>IF(F1="售价",ROUND(PRODUCT(T47,AB7:AB46),0),ROUND(PRODUCT(T47,AB7:AB46),1))</f>
        <v>#DIV/0!</v>
      </c>
      <c r="U48" s="3231"/>
      <c r="V48" s="3231" t="e">
        <f>IF(F1="售价",ROUND(PRODUCT(V47,AC7:AC46),0),ROUND(PRODUCT(V47,AC7:AC46),1))</f>
        <v>#DIV/0!</v>
      </c>
      <c r="W48" s="3231"/>
      <c r="X48" s="756"/>
      <c r="Y48" s="756"/>
      <c r="Z48" s="756"/>
      <c r="AA48" s="756"/>
      <c r="AB48" s="756"/>
      <c r="AC48" s="756"/>
    </row>
    <row r="49" spans="1:29" ht="15.75" thickBot="1">
      <c r="A49" s="490" t="s">
        <v>2673</v>
      </c>
      <c r="B49" s="491"/>
      <c r="C49" s="1414" t="e">
        <f>R49</f>
        <v>#DIV/0!</v>
      </c>
      <c r="D49" s="1414"/>
      <c r="E49" s="1414"/>
      <c r="F49" s="1414"/>
      <c r="G49" s="1414"/>
      <c r="H49" s="1414"/>
      <c r="I49" s="1414"/>
      <c r="J49" s="1414"/>
      <c r="K49" s="782"/>
      <c r="L49" s="1141"/>
      <c r="M49" s="1142"/>
      <c r="N49" s="1129"/>
      <c r="O49" s="1142"/>
      <c r="P49" s="3220" t="str">
        <f>A49</f>
        <v>估价对象XX用房的比较价值（楼面单价，元/平方米）</v>
      </c>
      <c r="Q49" s="3221"/>
      <c r="R49" s="3232" t="e">
        <f>IF(F1="售价",ROUND(AVERAGE(R48:V48),0),ROUND(AVERAGE(R48:V48),1))</f>
        <v>#DIV/0!</v>
      </c>
      <c r="S49" s="3232"/>
      <c r="T49" s="3232"/>
      <c r="U49" s="3232"/>
      <c r="V49" s="3232"/>
      <c r="W49" s="3232"/>
      <c r="X49" s="756"/>
      <c r="Y49" s="756"/>
      <c r="Z49" s="756"/>
      <c r="AA49" s="756"/>
      <c r="AB49" s="756"/>
      <c r="AC49" s="756"/>
    </row>
    <row r="50" spans="1:29">
      <c r="A50" s="1142"/>
      <c r="B50" s="1142"/>
      <c r="C50" s="1142"/>
      <c r="D50" s="1142"/>
      <c r="E50" s="1142"/>
      <c r="F50" s="1142"/>
      <c r="G50" s="1145"/>
      <c r="H50" s="1142"/>
      <c r="I50" s="1142"/>
      <c r="J50" s="1142"/>
      <c r="K50" s="1103"/>
      <c r="L50" s="1104"/>
      <c r="M50" s="1142"/>
      <c r="N50" s="1142"/>
      <c r="O50" s="1142"/>
      <c r="P50" s="673"/>
      <c r="Q50" s="756"/>
      <c r="R50" s="756"/>
      <c r="S50" s="756"/>
      <c r="T50" s="756"/>
      <c r="U50" s="756"/>
      <c r="V50" s="756"/>
      <c r="W50" s="756"/>
      <c r="X50" s="756"/>
      <c r="Y50" s="756"/>
      <c r="Z50" s="756"/>
      <c r="AA50" s="756"/>
      <c r="AB50" s="756"/>
      <c r="AC50" s="756"/>
    </row>
    <row r="51" spans="1:29">
      <c r="A51" s="1142"/>
      <c r="B51" s="1142"/>
      <c r="C51" s="1142"/>
      <c r="D51" s="1142"/>
      <c r="E51" s="1142"/>
      <c r="F51" s="1142"/>
      <c r="G51" s="1142"/>
      <c r="H51" s="1142"/>
      <c r="I51" s="1142"/>
      <c r="J51" s="1142"/>
      <c r="K51" s="1103"/>
      <c r="L51" s="1104"/>
      <c r="M51" s="1142"/>
      <c r="N51" s="1142"/>
      <c r="O51" s="1142"/>
      <c r="P51" s="673"/>
      <c r="Q51" s="756"/>
      <c r="R51" s="756"/>
      <c r="S51" s="756"/>
      <c r="T51" s="756"/>
      <c r="U51" s="756"/>
      <c r="V51" s="756"/>
      <c r="W51" s="756"/>
      <c r="X51" s="756"/>
      <c r="Y51" s="756"/>
      <c r="Z51" s="756"/>
      <c r="AA51" s="756"/>
      <c r="AB51" s="756"/>
      <c r="AC51" s="756"/>
    </row>
    <row r="52" spans="1:29" ht="13.5" customHeight="1">
      <c r="A52" s="1142"/>
      <c r="B52" s="1142"/>
      <c r="C52" s="495" t="s">
        <v>2674</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3"/>
      <c r="L52" s="1104"/>
      <c r="M52" s="1142"/>
      <c r="N52" s="1142"/>
      <c r="O52" s="1142"/>
      <c r="P52" s="673"/>
      <c r="Q52" s="756"/>
      <c r="R52" s="756"/>
      <c r="S52" s="756"/>
      <c r="T52" s="756"/>
      <c r="U52" s="756"/>
      <c r="V52" s="756"/>
      <c r="W52" s="756"/>
      <c r="X52" s="756"/>
      <c r="Y52" s="756"/>
      <c r="Z52" s="756"/>
      <c r="AA52" s="756"/>
      <c r="AB52" s="756"/>
      <c r="AC52" s="756"/>
    </row>
    <row r="53" spans="1:29" ht="13.5" customHeight="1">
      <c r="A53" s="1142"/>
      <c r="B53" s="1142"/>
      <c r="C53" s="495" t="s">
        <v>2675</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3"/>
      <c r="L53" s="1104"/>
      <c r="M53" s="1142"/>
      <c r="N53" s="1142"/>
      <c r="O53" s="1142"/>
      <c r="P53" s="673"/>
      <c r="Q53" s="756"/>
      <c r="R53" s="756"/>
      <c r="S53" s="756"/>
      <c r="T53" s="756"/>
      <c r="U53" s="756"/>
      <c r="V53" s="756"/>
      <c r="W53" s="756"/>
      <c r="X53" s="756"/>
      <c r="Y53" s="756"/>
      <c r="Z53" s="756"/>
      <c r="AA53" s="756"/>
      <c r="AB53" s="756"/>
      <c r="AC53" s="756"/>
    </row>
    <row r="54" spans="1:29" s="500" customFormat="1" ht="13.5" customHeight="1">
      <c r="A54" s="1143"/>
      <c r="B54" s="1143"/>
      <c r="C54" s="495" t="s">
        <v>2676</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6"/>
      <c r="L54" s="1147"/>
      <c r="M54" s="1143"/>
      <c r="N54" s="1143"/>
      <c r="O54" s="1143"/>
      <c r="P54" s="2658"/>
      <c r="Q54" s="757"/>
      <c r="R54" s="757"/>
      <c r="S54" s="757"/>
      <c r="T54" s="757"/>
      <c r="U54" s="757"/>
      <c r="V54" s="757"/>
      <c r="W54" s="757"/>
      <c r="X54" s="757"/>
      <c r="Y54" s="757"/>
      <c r="Z54" s="757"/>
      <c r="AA54" s="757"/>
      <c r="AB54" s="757"/>
      <c r="AC54" s="757"/>
    </row>
    <row r="55" spans="1:29" s="500" customFormat="1">
      <c r="A55" s="1143"/>
      <c r="B55" s="1144"/>
      <c r="C55" s="1148"/>
      <c r="D55" s="1143"/>
      <c r="E55" s="1143"/>
      <c r="F55" s="1143"/>
      <c r="G55" s="1143"/>
      <c r="H55" s="1143"/>
      <c r="I55" s="1143"/>
      <c r="J55" s="1143"/>
      <c r="K55" s="1146"/>
      <c r="L55" s="1147"/>
      <c r="M55" s="1143"/>
      <c r="N55" s="1143"/>
      <c r="O55" s="1143"/>
      <c r="P55" s="2658"/>
      <c r="Q55" s="757"/>
      <c r="R55" s="757"/>
      <c r="S55" s="757"/>
      <c r="T55" s="757"/>
      <c r="U55" s="757"/>
      <c r="V55" s="757"/>
      <c r="W55" s="757"/>
      <c r="X55" s="757"/>
      <c r="Y55" s="757"/>
      <c r="Z55" s="757"/>
      <c r="AA55" s="757"/>
      <c r="AB55" s="757"/>
      <c r="AC55" s="757"/>
    </row>
    <row r="56" spans="1:29">
      <c r="A56" s="1142"/>
      <c r="B56" s="1144"/>
      <c r="C56" s="1148"/>
      <c r="D56" s="1142"/>
      <c r="E56" s="1142"/>
      <c r="F56" s="1142"/>
      <c r="G56" s="1142"/>
      <c r="H56" s="1142"/>
      <c r="I56" s="1142"/>
      <c r="J56" s="1142"/>
      <c r="K56" s="1103"/>
      <c r="L56" s="1104"/>
      <c r="M56" s="1142"/>
      <c r="N56" s="1142"/>
      <c r="O56" s="1142"/>
      <c r="P56" s="673"/>
      <c r="Q56" s="756"/>
      <c r="R56" s="756"/>
      <c r="S56" s="756"/>
      <c r="T56" s="756"/>
      <c r="U56" s="756"/>
      <c r="V56" s="756"/>
      <c r="W56" s="756"/>
      <c r="X56" s="756"/>
      <c r="Y56" s="756"/>
      <c r="Z56" s="756"/>
      <c r="AA56" s="756"/>
      <c r="AB56" s="756"/>
      <c r="AC56" s="756"/>
    </row>
    <row r="57" spans="1:29" ht="21.75" thickBot="1">
      <c r="A57" s="760" t="s">
        <v>2677</v>
      </c>
      <c r="B57" s="756"/>
      <c r="C57" s="761"/>
      <c r="D57" s="761"/>
      <c r="E57" s="761"/>
      <c r="F57" s="762"/>
      <c r="G57" s="762"/>
      <c r="H57" s="761"/>
      <c r="I57" s="761"/>
      <c r="J57" s="761"/>
      <c r="K57" s="763"/>
      <c r="L57" s="1159"/>
      <c r="M57" s="1157"/>
      <c r="N57" s="1157"/>
      <c r="O57" s="1157"/>
      <c r="P57" s="2659"/>
      <c r="Q57" s="2660"/>
      <c r="R57" s="756"/>
      <c r="S57" s="756"/>
      <c r="T57" s="756"/>
      <c r="U57" s="756"/>
      <c r="V57" s="756"/>
      <c r="W57" s="756"/>
      <c r="X57" s="756"/>
      <c r="Y57" s="756"/>
      <c r="Z57" s="756"/>
      <c r="AA57" s="756"/>
      <c r="AB57" s="756"/>
      <c r="AC57" s="756"/>
    </row>
    <row r="58" spans="1:29" s="506" customFormat="1" ht="15">
      <c r="A58" s="503" t="s">
        <v>2551</v>
      </c>
      <c r="B58" s="504"/>
      <c r="C58" s="1572" t="str">
        <f>YEAR(C7)&amp;"-"&amp;MONTH(C7)</f>
        <v>2017-11</v>
      </c>
      <c r="D58" s="1573">
        <f>EDATE(C58,-1)</f>
        <v>43009</v>
      </c>
      <c r="E58" s="1573">
        <f t="shared" ref="E58:N58" si="16">EDATE(D58,-1)</f>
        <v>42979</v>
      </c>
      <c r="F58" s="1573">
        <f t="shared" si="16"/>
        <v>42948</v>
      </c>
      <c r="G58" s="1573">
        <f t="shared" si="16"/>
        <v>42917</v>
      </c>
      <c r="H58" s="1573">
        <f t="shared" si="16"/>
        <v>42887</v>
      </c>
      <c r="I58" s="1573">
        <f t="shared" si="16"/>
        <v>42856</v>
      </c>
      <c r="J58" s="1573">
        <f t="shared" si="16"/>
        <v>42826</v>
      </c>
      <c r="K58" s="1573">
        <f t="shared" si="16"/>
        <v>42795</v>
      </c>
      <c r="L58" s="1573">
        <f t="shared" si="16"/>
        <v>42767</v>
      </c>
      <c r="M58" s="1573">
        <f t="shared" si="16"/>
        <v>42736</v>
      </c>
      <c r="N58" s="1573">
        <f t="shared" si="16"/>
        <v>42705</v>
      </c>
      <c r="O58" s="1573">
        <f>EDATE(N58,-1)</f>
        <v>42675</v>
      </c>
      <c r="P58" s="1568"/>
    </row>
    <row r="59" spans="1:29" s="115" customFormat="1" ht="15">
      <c r="A59" s="507"/>
      <c r="B59" s="508"/>
      <c r="C59" s="1571">
        <v>100</v>
      </c>
      <c r="D59" s="510"/>
      <c r="E59" s="510"/>
      <c r="F59" s="510"/>
      <c r="G59" s="510"/>
      <c r="H59" s="510"/>
      <c r="I59" s="510"/>
      <c r="J59" s="510"/>
      <c r="K59" s="510"/>
      <c r="L59" s="510"/>
      <c r="M59" s="511"/>
      <c r="N59" s="510"/>
      <c r="O59" s="511"/>
      <c r="P59" s="2620"/>
    </row>
    <row r="60" spans="1:29" s="115" customFormat="1" ht="15.75" thickBot="1">
      <c r="A60" s="513" t="s">
        <v>2588</v>
      </c>
      <c r="B60" s="514"/>
      <c r="C60" s="515"/>
      <c r="D60" s="516"/>
      <c r="E60" s="516"/>
      <c r="F60" s="516"/>
      <c r="G60" s="516"/>
      <c r="H60" s="516"/>
      <c r="I60" s="516"/>
      <c r="J60" s="516"/>
      <c r="K60" s="516"/>
      <c r="L60" s="516"/>
      <c r="M60" s="517"/>
      <c r="N60" s="516"/>
      <c r="O60" s="517"/>
      <c r="P60" s="2620"/>
      <c r="Q60" s="502"/>
    </row>
    <row r="61" spans="1:29" s="115" customFormat="1" ht="15">
      <c r="A61" s="519" t="s">
        <v>2553</v>
      </c>
      <c r="B61" s="508"/>
      <c r="C61" s="520" t="s">
        <v>2655</v>
      </c>
      <c r="D61" s="521"/>
      <c r="E61" s="521"/>
      <c r="F61" s="521"/>
      <c r="G61" s="521"/>
      <c r="H61" s="521"/>
      <c r="I61" s="521"/>
      <c r="J61" s="521"/>
      <c r="K61" s="521"/>
      <c r="L61" s="522"/>
      <c r="M61" s="523"/>
      <c r="N61" s="1149"/>
      <c r="O61" s="1149"/>
      <c r="P61" s="2621"/>
      <c r="Q61" s="502"/>
    </row>
    <row r="62" spans="1:29" s="115" customFormat="1" ht="15.75" thickBot="1">
      <c r="A62" s="519"/>
      <c r="B62" s="508"/>
      <c r="C62" s="509">
        <v>100</v>
      </c>
      <c r="D62" s="510"/>
      <c r="E62" s="510"/>
      <c r="F62" s="510"/>
      <c r="G62" s="510"/>
      <c r="H62" s="510"/>
      <c r="I62" s="510"/>
      <c r="J62" s="510"/>
      <c r="K62" s="510"/>
      <c r="L62" s="510"/>
      <c r="M62" s="512"/>
      <c r="N62" s="1149"/>
      <c r="O62" s="1149"/>
      <c r="P62" s="2620"/>
      <c r="Q62" s="502"/>
    </row>
    <row r="63" spans="1:29">
      <c r="A63" s="525" t="s">
        <v>2591</v>
      </c>
      <c r="B63" s="526" t="s">
        <v>2557</v>
      </c>
      <c r="C63" s="527">
        <f>C9</f>
        <v>0</v>
      </c>
      <c r="D63" s="528"/>
      <c r="E63" s="528"/>
      <c r="F63" s="528"/>
      <c r="G63" s="528"/>
      <c r="H63" s="528"/>
      <c r="I63" s="528"/>
      <c r="J63" s="528"/>
      <c r="K63" s="529"/>
      <c r="L63" s="530"/>
      <c r="M63" s="531"/>
      <c r="N63" s="1150"/>
      <c r="O63" s="1150"/>
      <c r="P63" s="2622"/>
      <c r="Q63" s="502"/>
    </row>
    <row r="64" spans="1:29" ht="15.75" thickBot="1">
      <c r="A64" s="532"/>
      <c r="B64" s="533"/>
      <c r="C64" s="534">
        <v>100</v>
      </c>
      <c r="D64" s="534"/>
      <c r="E64" s="534"/>
      <c r="F64" s="534"/>
      <c r="G64" s="534"/>
      <c r="H64" s="534"/>
      <c r="I64" s="534"/>
      <c r="J64" s="534"/>
      <c r="K64" s="534"/>
      <c r="L64" s="534"/>
      <c r="M64" s="535"/>
      <c r="N64" s="1151"/>
      <c r="O64" s="1151"/>
      <c r="P64" s="2622"/>
      <c r="Q64" s="502"/>
    </row>
    <row r="65" spans="1:17" ht="27.75" thickTop="1">
      <c r="A65" s="532"/>
      <c r="B65" s="536" t="s">
        <v>2560</v>
      </c>
      <c r="C65" s="537" t="s">
        <v>2592</v>
      </c>
      <c r="D65" s="537" t="s">
        <v>2593</v>
      </c>
      <c r="E65" s="537" t="s">
        <v>2594</v>
      </c>
      <c r="F65" s="537" t="s">
        <v>2595</v>
      </c>
      <c r="G65" s="537" t="s">
        <v>2596</v>
      </c>
      <c r="H65" s="537" t="s">
        <v>2597</v>
      </c>
      <c r="I65" s="537" t="s">
        <v>2598</v>
      </c>
      <c r="J65" s="537"/>
      <c r="K65" s="538"/>
      <c r="L65" s="539"/>
      <c r="M65" s="540"/>
      <c r="N65" s="1150"/>
      <c r="O65" s="1150"/>
      <c r="P65" s="2622"/>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1"/>
      <c r="O66" s="1151"/>
      <c r="P66" s="2622"/>
      <c r="Q66" s="502"/>
    </row>
    <row r="67" spans="1:17" ht="15.75" thickTop="1">
      <c r="A67" s="532"/>
      <c r="B67" s="544" t="s">
        <v>2561</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1"/>
      <c r="O67" s="1151"/>
      <c r="P67" s="2622"/>
      <c r="Q67" s="502"/>
    </row>
    <row r="68" spans="1:17" ht="15">
      <c r="A68" s="532"/>
      <c r="B68" s="546"/>
      <c r="C68" s="547"/>
      <c r="D68" s="547"/>
      <c r="E68" s="547"/>
      <c r="F68" s="547"/>
      <c r="G68" s="547"/>
      <c r="H68" s="547"/>
      <c r="I68" s="547"/>
      <c r="J68" s="547"/>
      <c r="K68" s="548"/>
      <c r="L68" s="549"/>
      <c r="M68" s="550"/>
      <c r="N68" s="1150"/>
      <c r="O68" s="1150"/>
      <c r="P68" s="2622"/>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1"/>
      <c r="O69" s="1151"/>
      <c r="P69" s="2622"/>
      <c r="Q69" s="502"/>
    </row>
    <row r="70" spans="1:17" s="469" customFormat="1" ht="15.75" thickTop="1">
      <c r="A70" s="551"/>
      <c r="B70" s="536">
        <f>B12</f>
        <v>111</v>
      </c>
      <c r="C70" s="552"/>
      <c r="D70" s="552"/>
      <c r="E70" s="552"/>
      <c r="F70" s="552"/>
      <c r="G70" s="552"/>
      <c r="H70" s="553"/>
      <c r="I70" s="553"/>
      <c r="J70" s="553"/>
      <c r="K70" s="553"/>
      <c r="L70" s="554"/>
      <c r="M70" s="555"/>
      <c r="N70" s="1152"/>
      <c r="O70" s="1152"/>
      <c r="P70" s="2623"/>
      <c r="Q70" s="557"/>
    </row>
    <row r="71" spans="1:17" s="469" customFormat="1" ht="15.75" thickBot="1">
      <c r="A71" s="551"/>
      <c r="B71" s="541"/>
      <c r="C71" s="558"/>
      <c r="D71" s="534"/>
      <c r="E71" s="534"/>
      <c r="F71" s="534"/>
      <c r="G71" s="534"/>
      <c r="H71" s="534"/>
      <c r="I71" s="534"/>
      <c r="J71" s="534"/>
      <c r="K71" s="534"/>
      <c r="L71" s="534"/>
      <c r="M71" s="535"/>
      <c r="N71" s="1151"/>
      <c r="O71" s="1151"/>
      <c r="P71" s="2623"/>
      <c r="Q71" s="557"/>
    </row>
    <row r="72" spans="1:17" s="469" customFormat="1" ht="15.75" thickTop="1">
      <c r="A72" s="551"/>
      <c r="B72" s="536">
        <f>B13</f>
        <v>111</v>
      </c>
      <c r="C72" s="552"/>
      <c r="D72" s="552"/>
      <c r="E72" s="552"/>
      <c r="F72" s="552"/>
      <c r="G72" s="552"/>
      <c r="H72" s="553"/>
      <c r="I72" s="553"/>
      <c r="J72" s="553"/>
      <c r="K72" s="553"/>
      <c r="L72" s="554"/>
      <c r="M72" s="555"/>
      <c r="N72" s="1152"/>
      <c r="O72" s="1152"/>
      <c r="P72" s="2624"/>
      <c r="Q72" s="559"/>
    </row>
    <row r="73" spans="1:17" s="469" customFormat="1" ht="15.75" thickBot="1">
      <c r="A73" s="551"/>
      <c r="B73" s="541"/>
      <c r="C73" s="558"/>
      <c r="D73" s="534"/>
      <c r="E73" s="534"/>
      <c r="F73" s="534"/>
      <c r="G73" s="558"/>
      <c r="H73" s="560"/>
      <c r="I73" s="560"/>
      <c r="J73" s="560"/>
      <c r="K73" s="560"/>
      <c r="L73" s="560"/>
      <c r="M73" s="561"/>
      <c r="N73" s="1152"/>
      <c r="O73" s="1152"/>
      <c r="P73" s="2623"/>
      <c r="Q73" s="557"/>
    </row>
    <row r="74" spans="1:17" s="469" customFormat="1" ht="15.75" thickTop="1">
      <c r="A74" s="551"/>
      <c r="B74" s="544">
        <f>B14</f>
        <v>111</v>
      </c>
      <c r="C74" s="552"/>
      <c r="D74" s="552"/>
      <c r="E74" s="552"/>
      <c r="F74" s="552"/>
      <c r="G74" s="521"/>
      <c r="H74" s="562"/>
      <c r="I74" s="562"/>
      <c r="J74" s="562"/>
      <c r="K74" s="562"/>
      <c r="L74" s="563"/>
      <c r="M74" s="564"/>
      <c r="N74" s="1152"/>
      <c r="O74" s="1152"/>
      <c r="P74" s="2625"/>
      <c r="Q74" s="557"/>
    </row>
    <row r="75" spans="1:17" s="469" customFormat="1" ht="15.75" thickBot="1">
      <c r="A75" s="566"/>
      <c r="B75" s="567"/>
      <c r="C75" s="568"/>
      <c r="D75" s="568"/>
      <c r="E75" s="568"/>
      <c r="F75" s="568"/>
      <c r="G75" s="568"/>
      <c r="H75" s="569"/>
      <c r="I75" s="569"/>
      <c r="J75" s="569"/>
      <c r="K75" s="569"/>
      <c r="L75" s="569"/>
      <c r="M75" s="570"/>
      <c r="N75" s="1152"/>
      <c r="O75" s="1152"/>
      <c r="P75" s="2623"/>
      <c r="Q75" s="557"/>
    </row>
    <row r="76" spans="1:17">
      <c r="A76" s="525" t="s">
        <v>2562</v>
      </c>
      <c r="B76" s="526" t="s">
        <v>2599</v>
      </c>
      <c r="C76" s="571" t="s">
        <v>2600</v>
      </c>
      <c r="D76" s="571" t="s">
        <v>2601</v>
      </c>
      <c r="E76" s="571" t="s">
        <v>2602</v>
      </c>
      <c r="F76" s="571" t="s">
        <v>2603</v>
      </c>
      <c r="G76" s="571" t="s">
        <v>2604</v>
      </c>
      <c r="H76" s="527"/>
      <c r="I76" s="527"/>
      <c r="J76" s="527"/>
      <c r="K76" s="572"/>
      <c r="L76" s="573"/>
      <c r="M76" s="574"/>
      <c r="N76" s="1150"/>
      <c r="O76" s="1150"/>
      <c r="P76" s="2626"/>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1"/>
      <c r="O77" s="1151"/>
      <c r="P77" s="2622"/>
      <c r="Q77" s="502"/>
    </row>
    <row r="78" spans="1:17" ht="15.75" thickTop="1">
      <c r="A78" s="532"/>
      <c r="B78" s="536" t="s">
        <v>2605</v>
      </c>
      <c r="C78" s="576" t="s">
        <v>2600</v>
      </c>
      <c r="D78" s="576" t="s">
        <v>2601</v>
      </c>
      <c r="E78" s="576" t="s">
        <v>2602</v>
      </c>
      <c r="F78" s="576" t="s">
        <v>2603</v>
      </c>
      <c r="G78" s="576" t="s">
        <v>2604</v>
      </c>
      <c r="H78" s="537"/>
      <c r="I78" s="537"/>
      <c r="J78" s="537"/>
      <c r="K78" s="538"/>
      <c r="L78" s="539"/>
      <c r="M78" s="540"/>
      <c r="N78" s="1150"/>
      <c r="O78" s="1150"/>
      <c r="P78" s="2622"/>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1"/>
      <c r="O79" s="1151"/>
      <c r="P79" s="2622"/>
      <c r="Q79" s="502"/>
    </row>
    <row r="80" spans="1:17" ht="15.75" thickTop="1">
      <c r="A80" s="532"/>
      <c r="B80" s="536" t="s">
        <v>2606</v>
      </c>
      <c r="C80" s="576" t="s">
        <v>2600</v>
      </c>
      <c r="D80" s="576" t="s">
        <v>2601</v>
      </c>
      <c r="E80" s="576" t="s">
        <v>2602</v>
      </c>
      <c r="F80" s="576" t="s">
        <v>2603</v>
      </c>
      <c r="G80" s="576" t="s">
        <v>2604</v>
      </c>
      <c r="H80" s="537"/>
      <c r="I80" s="537"/>
      <c r="J80" s="537"/>
      <c r="K80" s="538"/>
      <c r="L80" s="539"/>
      <c r="M80" s="540"/>
      <c r="N80" s="1150"/>
      <c r="O80" s="1150"/>
      <c r="P80" s="2622"/>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1"/>
      <c r="O81" s="1151"/>
      <c r="P81" s="2622"/>
      <c r="Q81" s="502"/>
    </row>
    <row r="82" spans="1:17" ht="15.75" thickTop="1">
      <c r="A82" s="532"/>
      <c r="B82" s="544" t="s">
        <v>2658</v>
      </c>
      <c r="C82" s="658" t="s">
        <v>2678</v>
      </c>
      <c r="D82" s="658" t="s">
        <v>2679</v>
      </c>
      <c r="E82" s="658" t="s">
        <v>2680</v>
      </c>
      <c r="F82" s="658" t="s">
        <v>2681</v>
      </c>
      <c r="G82" s="658" t="s">
        <v>2682</v>
      </c>
      <c r="H82" s="537"/>
      <c r="I82" s="537"/>
      <c r="J82" s="537"/>
      <c r="K82" s="537"/>
      <c r="L82" s="537"/>
      <c r="M82" s="1380"/>
      <c r="N82" s="1151"/>
      <c r="O82" s="1151"/>
      <c r="P82" s="2622"/>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1"/>
      <c r="O83" s="1151"/>
      <c r="P83" s="2622"/>
      <c r="Q83" s="502"/>
    </row>
    <row r="84" spans="1:17" ht="15.75" thickTop="1">
      <c r="A84" s="532"/>
      <c r="B84" s="536" t="s">
        <v>2612</v>
      </c>
      <c r="C84" s="576" t="s">
        <v>2600</v>
      </c>
      <c r="D84" s="576" t="s">
        <v>2601</v>
      </c>
      <c r="E84" s="576" t="s">
        <v>2602</v>
      </c>
      <c r="F84" s="576" t="s">
        <v>2603</v>
      </c>
      <c r="G84" s="576" t="s">
        <v>2604</v>
      </c>
      <c r="H84" s="537"/>
      <c r="I84" s="537"/>
      <c r="J84" s="537"/>
      <c r="K84" s="538"/>
      <c r="L84" s="539"/>
      <c r="M84" s="540"/>
      <c r="N84" s="1150"/>
      <c r="O84" s="1150"/>
      <c r="P84" s="2622"/>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1"/>
      <c r="O85" s="1151"/>
      <c r="P85" s="2622"/>
      <c r="Q85" s="502"/>
    </row>
    <row r="86" spans="1:17" s="115" customFormat="1" ht="15.75" thickTop="1">
      <c r="A86" s="577"/>
      <c r="B86" s="536" t="s">
        <v>2683</v>
      </c>
      <c r="C86" s="552"/>
      <c r="D86" s="552"/>
      <c r="E86" s="552"/>
      <c r="F86" s="552"/>
      <c r="G86" s="552"/>
      <c r="H86" s="552"/>
      <c r="I86" s="552"/>
      <c r="J86" s="552"/>
      <c r="K86" s="552"/>
      <c r="L86" s="578"/>
      <c r="M86" s="579"/>
      <c r="N86" s="1149"/>
      <c r="O86" s="1149"/>
      <c r="P86" s="2622"/>
      <c r="Q86" s="502"/>
    </row>
    <row r="87" spans="1:17" s="115"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1"/>
      <c r="O87" s="1151"/>
      <c r="P87" s="2622"/>
      <c r="Q87" s="502"/>
    </row>
    <row r="88" spans="1:17" s="115" customFormat="1" ht="15.75" thickTop="1">
      <c r="A88" s="577"/>
      <c r="B88" s="536" t="str">
        <f>B26</f>
        <v>平面位置/可视性</v>
      </c>
      <c r="C88" s="552"/>
      <c r="D88" s="552"/>
      <c r="E88" s="552"/>
      <c r="F88" s="2627"/>
      <c r="G88" s="552"/>
      <c r="H88" s="552"/>
      <c r="I88" s="552"/>
      <c r="J88" s="552"/>
      <c r="K88" s="552"/>
      <c r="L88" s="552"/>
      <c r="M88" s="579"/>
      <c r="N88" s="1149"/>
      <c r="O88" s="1149"/>
      <c r="P88" s="2622"/>
      <c r="Q88" s="502"/>
    </row>
    <row r="89" spans="1:17" s="115" customFormat="1" ht="15.75" thickBot="1">
      <c r="A89" s="577"/>
      <c r="B89" s="541"/>
      <c r="C89" s="558"/>
      <c r="D89" s="534"/>
      <c r="E89" s="534"/>
      <c r="F89" s="534"/>
      <c r="G89" s="534"/>
      <c r="H89" s="534"/>
      <c r="I89" s="534"/>
      <c r="J89" s="534"/>
      <c r="K89" s="534"/>
      <c r="L89" s="534"/>
      <c r="M89" s="534"/>
      <c r="N89" s="1151"/>
      <c r="O89" s="1151"/>
      <c r="P89" s="2622"/>
      <c r="Q89" s="502"/>
    </row>
    <row r="90" spans="1:17" s="469" customFormat="1" ht="15.75" thickTop="1">
      <c r="A90" s="551"/>
      <c r="B90" s="536" t="str">
        <f>B27</f>
        <v>人流量</v>
      </c>
      <c r="C90" s="552"/>
      <c r="D90" s="552"/>
      <c r="E90" s="552"/>
      <c r="F90" s="552"/>
      <c r="G90" s="552"/>
      <c r="H90" s="553"/>
      <c r="I90" s="553"/>
      <c r="J90" s="553"/>
      <c r="K90" s="553"/>
      <c r="L90" s="554"/>
      <c r="M90" s="555"/>
      <c r="N90" s="1152"/>
      <c r="O90" s="1152"/>
      <c r="P90" s="2623"/>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2"/>
      <c r="O91" s="1152"/>
      <c r="P91" s="2623"/>
      <c r="Q91" s="557"/>
    </row>
    <row r="92" spans="1:17" ht="15.75" thickTop="1">
      <c r="A92" s="532"/>
      <c r="B92" s="536" t="str">
        <f>B28</f>
        <v>楼层</v>
      </c>
      <c r="C92" s="552"/>
      <c r="D92" s="552"/>
      <c r="E92" s="552"/>
      <c r="F92" s="552"/>
      <c r="G92" s="552"/>
      <c r="H92" s="552"/>
      <c r="I92" s="552"/>
      <c r="J92" s="552"/>
      <c r="K92" s="552"/>
      <c r="L92" s="578"/>
      <c r="M92" s="579"/>
      <c r="N92" s="1150"/>
      <c r="O92" s="1150"/>
      <c r="P92" s="2622"/>
      <c r="Q92" s="502"/>
    </row>
    <row r="93" spans="1:17" ht="15.75" thickBot="1">
      <c r="A93" s="532"/>
      <c r="B93" s="541"/>
      <c r="C93" s="534"/>
      <c r="D93" s="534"/>
      <c r="E93" s="534"/>
      <c r="F93" s="534"/>
      <c r="G93" s="534"/>
      <c r="H93" s="534"/>
      <c r="I93" s="534"/>
      <c r="J93" s="534"/>
      <c r="K93" s="534"/>
      <c r="L93" s="534"/>
      <c r="M93" s="535"/>
      <c r="N93" s="1151"/>
      <c r="O93" s="1151"/>
      <c r="P93" s="2622"/>
      <c r="Q93" s="502"/>
    </row>
    <row r="94" spans="1:17" ht="15.75" thickTop="1">
      <c r="A94" s="532"/>
      <c r="B94" s="536">
        <f>B29</f>
        <v>111</v>
      </c>
      <c r="C94" s="552"/>
      <c r="D94" s="552"/>
      <c r="E94" s="552"/>
      <c r="F94" s="552"/>
      <c r="G94" s="581"/>
      <c r="H94" s="581"/>
      <c r="I94" s="581"/>
      <c r="J94" s="581"/>
      <c r="K94" s="582"/>
      <c r="L94" s="583"/>
      <c r="M94" s="584"/>
      <c r="N94" s="1150"/>
      <c r="O94" s="1150"/>
      <c r="P94" s="2622"/>
      <c r="Q94" s="502"/>
    </row>
    <row r="95" spans="1:17" ht="15.75" thickBot="1">
      <c r="A95" s="532"/>
      <c r="B95" s="541"/>
      <c r="C95" s="558"/>
      <c r="D95" s="534"/>
      <c r="E95" s="534"/>
      <c r="F95" s="534"/>
      <c r="G95" s="534"/>
      <c r="H95" s="534"/>
      <c r="I95" s="534"/>
      <c r="J95" s="534"/>
      <c r="K95" s="534"/>
      <c r="L95" s="534"/>
      <c r="M95" s="535"/>
      <c r="N95" s="1151"/>
      <c r="O95" s="1151"/>
      <c r="P95" s="2622"/>
      <c r="Q95" s="502"/>
    </row>
    <row r="96" spans="1:17" ht="15.75" thickTop="1">
      <c r="A96" s="532"/>
      <c r="B96" s="536">
        <f>B30</f>
        <v>111</v>
      </c>
      <c r="C96" s="552"/>
      <c r="D96" s="552"/>
      <c r="E96" s="552"/>
      <c r="F96" s="552"/>
      <c r="G96" s="581"/>
      <c r="H96" s="581"/>
      <c r="I96" s="581"/>
      <c r="J96" s="581"/>
      <c r="K96" s="582"/>
      <c r="L96" s="583"/>
      <c r="M96" s="584"/>
      <c r="N96" s="1150"/>
      <c r="O96" s="1150"/>
      <c r="P96" s="2622"/>
      <c r="Q96" s="502"/>
    </row>
    <row r="97" spans="1:17" ht="15.75" thickBot="1">
      <c r="A97" s="532"/>
      <c r="B97" s="541"/>
      <c r="C97" s="558"/>
      <c r="D97" s="534"/>
      <c r="E97" s="534"/>
      <c r="F97" s="534"/>
      <c r="G97" s="534"/>
      <c r="H97" s="534"/>
      <c r="I97" s="534"/>
      <c r="J97" s="534"/>
      <c r="K97" s="534"/>
      <c r="L97" s="534"/>
      <c r="M97" s="535"/>
      <c r="N97" s="1151"/>
      <c r="O97" s="1151"/>
      <c r="P97" s="2622"/>
      <c r="Q97" s="502"/>
    </row>
    <row r="98" spans="1:17" ht="15.75" thickTop="1">
      <c r="A98" s="532"/>
      <c r="B98" s="544">
        <f>B31</f>
        <v>111</v>
      </c>
      <c r="C98" s="552"/>
      <c r="D98" s="552"/>
      <c r="E98" s="552"/>
      <c r="F98" s="552"/>
      <c r="G98" s="585"/>
      <c r="H98" s="585"/>
      <c r="I98" s="585"/>
      <c r="J98" s="585"/>
      <c r="K98" s="586"/>
      <c r="L98" s="587"/>
      <c r="M98" s="588"/>
      <c r="N98" s="1150"/>
      <c r="O98" s="1150"/>
      <c r="P98" s="2622"/>
      <c r="Q98" s="502"/>
    </row>
    <row r="99" spans="1:17" ht="15.75" thickBot="1">
      <c r="A99" s="2628"/>
      <c r="B99" s="567"/>
      <c r="C99" s="568"/>
      <c r="D99" s="568"/>
      <c r="E99" s="568"/>
      <c r="F99" s="568"/>
      <c r="G99" s="589"/>
      <c r="H99" s="589"/>
      <c r="I99" s="589"/>
      <c r="J99" s="589"/>
      <c r="K99" s="589"/>
      <c r="L99" s="589"/>
      <c r="M99" s="590"/>
      <c r="N99" s="1151"/>
      <c r="O99" s="1151"/>
      <c r="P99" s="2622"/>
      <c r="Q99" s="502"/>
    </row>
    <row r="100" spans="1:17">
      <c r="A100" s="525" t="s">
        <v>2566</v>
      </c>
      <c r="B100" s="526" t="s">
        <v>2684</v>
      </c>
      <c r="C100" s="528"/>
      <c r="D100" s="528"/>
      <c r="E100" s="528"/>
      <c r="F100" s="528"/>
      <c r="G100" s="528"/>
      <c r="H100" s="528"/>
      <c r="I100" s="528"/>
      <c r="J100" s="528"/>
      <c r="K100" s="529"/>
      <c r="L100" s="530"/>
      <c r="M100" s="531"/>
      <c r="N100" s="1150"/>
      <c r="O100" s="1150"/>
      <c r="P100" s="2622"/>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1"/>
      <c r="O101" s="1151"/>
      <c r="P101" s="2622"/>
      <c r="Q101" s="502"/>
    </row>
    <row r="102" spans="1:17" ht="15.75" thickTop="1">
      <c r="A102" s="532"/>
      <c r="B102" s="536" t="s">
        <v>2616</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9"/>
      <c r="O102" s="1149"/>
      <c r="P102" s="2622"/>
      <c r="Q102" s="502"/>
    </row>
    <row r="103" spans="1:17" s="469" customFormat="1">
      <c r="A103" s="591"/>
      <c r="B103" s="592"/>
      <c r="C103" s="593"/>
      <c r="D103" s="593"/>
      <c r="E103" s="593"/>
      <c r="F103" s="593"/>
      <c r="G103" s="593"/>
      <c r="H103" s="593"/>
      <c r="I103" s="593"/>
      <c r="J103" s="594"/>
      <c r="K103" s="594"/>
      <c r="L103" s="595"/>
      <c r="M103" s="596"/>
      <c r="N103" s="1152"/>
      <c r="O103" s="1152"/>
      <c r="P103" s="2623"/>
      <c r="Q103" s="557"/>
    </row>
    <row r="104" spans="1:17" s="469" customFormat="1" ht="15.75" thickBot="1">
      <c r="A104" s="551"/>
      <c r="B104" s="541"/>
      <c r="C104" s="558"/>
      <c r="D104" s="534"/>
      <c r="E104" s="534"/>
      <c r="F104" s="534"/>
      <c r="G104" s="534"/>
      <c r="H104" s="534"/>
      <c r="I104" s="534"/>
      <c r="J104" s="534"/>
      <c r="K104" s="534"/>
      <c r="L104" s="534"/>
      <c r="M104" s="535"/>
      <c r="N104" s="1151"/>
      <c r="O104" s="1151"/>
      <c r="P104" s="2623"/>
      <c r="Q104" s="557"/>
    </row>
    <row r="105" spans="1:17" ht="15" thickTop="1">
      <c r="A105" s="597"/>
      <c r="B105" s="536" t="s">
        <v>2617</v>
      </c>
      <c r="C105" s="552"/>
      <c r="D105" s="552"/>
      <c r="E105" s="581"/>
      <c r="F105" s="581"/>
      <c r="G105" s="581"/>
      <c r="H105" s="581"/>
      <c r="I105" s="581"/>
      <c r="J105" s="581"/>
      <c r="K105" s="582"/>
      <c r="L105" s="583"/>
      <c r="M105" s="584"/>
      <c r="N105" s="1150"/>
      <c r="O105" s="1150"/>
      <c r="P105" s="2622"/>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1"/>
      <c r="O106" s="1151"/>
      <c r="P106" s="2622"/>
      <c r="Q106" s="502"/>
    </row>
    <row r="107" spans="1:17" ht="15" thickTop="1">
      <c r="A107" s="597"/>
      <c r="B107" s="536" t="s">
        <v>2619</v>
      </c>
      <c r="C107" s="552"/>
      <c r="D107" s="552"/>
      <c r="E107" s="552"/>
      <c r="F107" s="581"/>
      <c r="G107" s="581"/>
      <c r="H107" s="581"/>
      <c r="I107" s="581"/>
      <c r="J107" s="581"/>
      <c r="K107" s="582"/>
      <c r="L107" s="583"/>
      <c r="M107" s="584"/>
      <c r="N107" s="1150"/>
      <c r="O107" s="1150"/>
      <c r="P107" s="2622"/>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1"/>
      <c r="O108" s="1151"/>
      <c r="P108" s="2622"/>
      <c r="Q108" s="502"/>
    </row>
    <row r="109" spans="1:17" ht="15" thickTop="1">
      <c r="A109" s="597"/>
      <c r="B109" s="536" t="s">
        <v>2002</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0"/>
      <c r="O109" s="1150"/>
      <c r="P109" s="2622"/>
      <c r="Q109" s="502"/>
    </row>
    <row r="110" spans="1:17">
      <c r="A110" s="597"/>
      <c r="B110" s="544"/>
      <c r="C110" s="601">
        <v>0.5</v>
      </c>
      <c r="D110" s="601">
        <v>0.6</v>
      </c>
      <c r="E110" s="601">
        <v>0.7</v>
      </c>
      <c r="F110" s="601">
        <v>0.8</v>
      </c>
      <c r="G110" s="601">
        <v>0.9</v>
      </c>
      <c r="H110" s="601">
        <v>1.0001</v>
      </c>
      <c r="I110" s="621"/>
      <c r="J110" s="621"/>
      <c r="K110" s="622"/>
      <c r="L110" s="623"/>
      <c r="M110" s="624"/>
      <c r="N110" s="1150"/>
      <c r="O110" s="1150"/>
      <c r="P110" s="2622"/>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1"/>
      <c r="O111" s="1151"/>
      <c r="P111" s="2622"/>
      <c r="Q111" s="502"/>
    </row>
    <row r="112" spans="1:17" s="469" customFormat="1" ht="15" thickTop="1">
      <c r="A112" s="591"/>
      <c r="B112" s="536" t="s">
        <v>2621</v>
      </c>
      <c r="C112" s="552"/>
      <c r="D112" s="552"/>
      <c r="E112" s="552"/>
      <c r="F112" s="552"/>
      <c r="G112" s="552"/>
      <c r="H112" s="581"/>
      <c r="I112" s="581"/>
      <c r="J112" s="581"/>
      <c r="K112" s="582"/>
      <c r="L112" s="583"/>
      <c r="M112" s="584"/>
      <c r="N112" s="1152"/>
      <c r="O112" s="1152"/>
      <c r="P112" s="2623"/>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2"/>
      <c r="O113" s="1152"/>
      <c r="P113" s="2623"/>
      <c r="Q113" s="557"/>
    </row>
    <row r="114" spans="1:17" ht="15" thickTop="1">
      <c r="A114" s="597"/>
      <c r="B114" s="536" t="s">
        <v>2685</v>
      </c>
      <c r="C114" s="552"/>
      <c r="D114" s="552"/>
      <c r="E114" s="581"/>
      <c r="F114" s="581"/>
      <c r="G114" s="581"/>
      <c r="H114" s="581"/>
      <c r="I114" s="581"/>
      <c r="J114" s="581"/>
      <c r="K114" s="582"/>
      <c r="L114" s="583"/>
      <c r="M114" s="584"/>
      <c r="N114" s="1150"/>
      <c r="O114" s="1150"/>
      <c r="P114" s="2622"/>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1"/>
      <c r="O115" s="1151"/>
      <c r="P115" s="2622"/>
      <c r="Q115" s="502"/>
    </row>
    <row r="116" spans="1:17" ht="15" thickTop="1">
      <c r="A116" s="597"/>
      <c r="B116" s="536" t="s">
        <v>2686</v>
      </c>
      <c r="C116" s="552"/>
      <c r="D116" s="552"/>
      <c r="E116" s="552"/>
      <c r="F116" s="552"/>
      <c r="G116" s="552"/>
      <c r="H116" s="581"/>
      <c r="I116" s="581"/>
      <c r="J116" s="581"/>
      <c r="K116" s="582"/>
      <c r="L116" s="583"/>
      <c r="M116" s="584"/>
      <c r="N116" s="1150"/>
      <c r="O116" s="1150"/>
      <c r="P116" s="2622"/>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1"/>
      <c r="O117" s="1151"/>
      <c r="P117" s="2622"/>
      <c r="Q117" s="502"/>
    </row>
    <row r="118" spans="1:17" ht="15" thickTop="1">
      <c r="A118" s="597"/>
      <c r="B118" s="536" t="s">
        <v>2687</v>
      </c>
      <c r="C118" s="625"/>
      <c r="D118" s="625"/>
      <c r="E118" s="625"/>
      <c r="F118" s="625"/>
      <c r="G118" s="625"/>
      <c r="H118" s="553"/>
      <c r="I118" s="553"/>
      <c r="J118" s="553"/>
      <c r="K118" s="553"/>
      <c r="L118" s="554"/>
      <c r="M118" s="555"/>
      <c r="N118" s="1150"/>
      <c r="O118" s="1150"/>
      <c r="P118" s="2622"/>
      <c r="Q118" s="502"/>
    </row>
    <row r="119" spans="1:17" ht="15.75" thickBot="1">
      <c r="A119" s="532"/>
      <c r="B119" s="541"/>
      <c r="C119" s="558"/>
      <c r="D119" s="534"/>
      <c r="E119" s="534"/>
      <c r="F119" s="534"/>
      <c r="G119" s="534"/>
      <c r="H119" s="534"/>
      <c r="I119" s="534"/>
      <c r="J119" s="534"/>
      <c r="K119" s="534"/>
      <c r="L119" s="534"/>
      <c r="M119" s="535"/>
      <c r="N119" s="1151"/>
      <c r="O119" s="1151"/>
      <c r="P119" s="2622"/>
      <c r="Q119" s="502"/>
    </row>
    <row r="120" spans="1:17" s="469" customFormat="1" ht="15" thickTop="1">
      <c r="A120" s="591"/>
      <c r="B120" s="536" t="s">
        <v>2688</v>
      </c>
      <c r="C120" s="581"/>
      <c r="D120" s="581"/>
      <c r="E120" s="581"/>
      <c r="F120" s="581"/>
      <c r="G120" s="553"/>
      <c r="H120" s="553"/>
      <c r="I120" s="553"/>
      <c r="J120" s="553"/>
      <c r="K120" s="553"/>
      <c r="L120" s="554"/>
      <c r="M120" s="555"/>
      <c r="N120" s="1152"/>
      <c r="O120" s="1152"/>
      <c r="P120" s="2623"/>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2"/>
      <c r="O121" s="1152"/>
      <c r="P121" s="2623"/>
      <c r="Q121" s="557"/>
    </row>
    <row r="122" spans="1:17" ht="15" thickTop="1">
      <c r="A122" s="597"/>
      <c r="B122" s="536" t="s">
        <v>2623</v>
      </c>
      <c r="C122" s="552"/>
      <c r="D122" s="552"/>
      <c r="E122" s="552"/>
      <c r="F122" s="581"/>
      <c r="G122" s="581"/>
      <c r="H122" s="581"/>
      <c r="I122" s="581"/>
      <c r="J122" s="581"/>
      <c r="K122" s="582"/>
      <c r="L122" s="583"/>
      <c r="M122" s="584"/>
      <c r="N122" s="1150"/>
      <c r="O122" s="1150"/>
      <c r="P122" s="2622"/>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1"/>
      <c r="O123" s="1151"/>
      <c r="P123" s="2622"/>
      <c r="Q123" s="502"/>
    </row>
    <row r="124" spans="1:17" ht="15" thickTop="1">
      <c r="A124" s="597"/>
      <c r="B124" s="536" t="s">
        <v>2624</v>
      </c>
      <c r="C124" s="576" t="s">
        <v>2600</v>
      </c>
      <c r="D124" s="576" t="s">
        <v>2601</v>
      </c>
      <c r="E124" s="576" t="s">
        <v>2602</v>
      </c>
      <c r="F124" s="576" t="s">
        <v>2603</v>
      </c>
      <c r="G124" s="576" t="s">
        <v>2604</v>
      </c>
      <c r="H124" s="537"/>
      <c r="I124" s="537"/>
      <c r="J124" s="537"/>
      <c r="K124" s="538"/>
      <c r="L124" s="539"/>
      <c r="M124" s="540"/>
      <c r="N124" s="1150"/>
      <c r="O124" s="1150"/>
      <c r="P124" s="2623"/>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1"/>
      <c r="O125" s="1151"/>
      <c r="P125" s="2622"/>
      <c r="Q125" s="502"/>
    </row>
    <row r="126" spans="1:17" s="469" customFormat="1" ht="15" thickTop="1">
      <c r="A126" s="591"/>
      <c r="B126" s="536">
        <f>B44</f>
        <v>111</v>
      </c>
      <c r="C126" s="552"/>
      <c r="D126" s="552"/>
      <c r="E126" s="552"/>
      <c r="F126" s="552"/>
      <c r="G126" s="552"/>
      <c r="H126" s="553"/>
      <c r="I126" s="553"/>
      <c r="J126" s="553"/>
      <c r="K126" s="553"/>
      <c r="L126" s="554"/>
      <c r="M126" s="555"/>
      <c r="N126" s="1152"/>
      <c r="O126" s="1152"/>
      <c r="P126" s="2623"/>
      <c r="Q126" s="557"/>
    </row>
    <row r="127" spans="1:17" s="469" customFormat="1" ht="15.75" thickBot="1">
      <c r="A127" s="551"/>
      <c r="B127" s="541"/>
      <c r="C127" s="558"/>
      <c r="D127" s="534"/>
      <c r="E127" s="534"/>
      <c r="F127" s="534"/>
      <c r="G127" s="558"/>
      <c r="H127" s="560"/>
      <c r="I127" s="560"/>
      <c r="J127" s="560"/>
      <c r="K127" s="560"/>
      <c r="L127" s="560"/>
      <c r="M127" s="561"/>
      <c r="N127" s="1152"/>
      <c r="O127" s="1152"/>
      <c r="P127" s="2623"/>
      <c r="Q127" s="557"/>
    </row>
    <row r="128" spans="1:17" ht="15" thickTop="1">
      <c r="A128" s="597"/>
      <c r="B128" s="536">
        <f>B45</f>
        <v>111</v>
      </c>
      <c r="C128" s="552"/>
      <c r="D128" s="552"/>
      <c r="E128" s="552"/>
      <c r="F128" s="552"/>
      <c r="G128" s="581"/>
      <c r="H128" s="581"/>
      <c r="I128" s="581"/>
      <c r="J128" s="581"/>
      <c r="K128" s="582"/>
      <c r="L128" s="583"/>
      <c r="M128" s="584"/>
      <c r="N128" s="1150"/>
      <c r="O128" s="1150"/>
      <c r="P128" s="2622"/>
      <c r="Q128" s="502"/>
    </row>
    <row r="129" spans="1:17" ht="15.75" thickBot="1">
      <c r="A129" s="532"/>
      <c r="B129" s="541"/>
      <c r="C129" s="558"/>
      <c r="D129" s="534"/>
      <c r="E129" s="534"/>
      <c r="F129" s="534"/>
      <c r="G129" s="534"/>
      <c r="H129" s="534"/>
      <c r="I129" s="534"/>
      <c r="J129" s="534"/>
      <c r="K129" s="534"/>
      <c r="L129" s="534"/>
      <c r="M129" s="535"/>
      <c r="N129" s="1151"/>
      <c r="O129" s="1151"/>
      <c r="P129" s="2622"/>
      <c r="Q129" s="502"/>
    </row>
    <row r="130" spans="1:17" ht="15" thickTop="1">
      <c r="A130" s="597"/>
      <c r="B130" s="544">
        <f>B46</f>
        <v>111</v>
      </c>
      <c r="C130" s="552"/>
      <c r="D130" s="552"/>
      <c r="E130" s="552"/>
      <c r="F130" s="552"/>
      <c r="G130" s="585"/>
      <c r="H130" s="585"/>
      <c r="I130" s="585"/>
      <c r="J130" s="585"/>
      <c r="K130" s="521"/>
      <c r="L130" s="522"/>
      <c r="M130" s="588"/>
      <c r="N130" s="1150"/>
      <c r="O130" s="1150"/>
      <c r="P130" s="2622"/>
      <c r="Q130" s="502"/>
    </row>
    <row r="131" spans="1:17" ht="15.75" thickBot="1">
      <c r="A131" s="2628"/>
      <c r="B131" s="567"/>
      <c r="C131" s="568"/>
      <c r="D131" s="568"/>
      <c r="E131" s="568"/>
      <c r="F131" s="568"/>
      <c r="G131" s="589"/>
      <c r="H131" s="589"/>
      <c r="I131" s="589"/>
      <c r="J131" s="589"/>
      <c r="K131" s="589"/>
      <c r="L131" s="589"/>
      <c r="M131" s="590"/>
      <c r="N131" s="1151"/>
      <c r="O131" s="1151"/>
      <c r="P131" s="2622"/>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2531</v>
      </c>
      <c r="B1" s="2661" t="s">
        <v>2689</v>
      </c>
      <c r="C1" s="1617" t="s">
        <v>2533</v>
      </c>
      <c r="D1" s="1618"/>
      <c r="E1" s="1627"/>
      <c r="F1" s="2578"/>
      <c r="G1" s="1628" t="s">
        <v>2646</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2333</v>
      </c>
      <c r="B2" s="1415" t="e">
        <f ca="1">IF(C2="——",ROUND(C50*D3/10000,0),ROUND(C50*D3/10000,0)-D2)</f>
        <v>#DIV/0!</v>
      </c>
      <c r="C2" s="2580"/>
      <c r="D2" s="1363" t="e">
        <f ca="1">SUMIF(INDIRECT("'"&amp;F2&amp;"'"&amp;"!A:A"),"承租人权益价值",INDIRECT("'"&amp;F2&amp;"'"&amp;"!c:c"))</f>
        <v>#REF!</v>
      </c>
      <c r="E2" s="2581" t="s">
        <v>2334</v>
      </c>
      <c r="F2" s="2582"/>
      <c r="G2" s="1123"/>
      <c r="H2" s="1123"/>
      <c r="I2" s="1123"/>
      <c r="J2" s="1123"/>
      <c r="K2" s="1123"/>
      <c r="L2" s="1126"/>
      <c r="M2" s="1127"/>
      <c r="N2" s="1127"/>
      <c r="O2" s="1127"/>
      <c r="P2" s="765"/>
      <c r="Q2" s="765"/>
      <c r="R2" s="765"/>
      <c r="S2" s="765"/>
      <c r="T2" s="765"/>
      <c r="U2" s="765"/>
      <c r="V2" s="765"/>
      <c r="W2" s="765"/>
      <c r="X2" s="765"/>
      <c r="Y2" s="765"/>
      <c r="Z2" s="765"/>
      <c r="AA2" s="765"/>
      <c r="AB2" s="765"/>
      <c r="AC2" s="766"/>
    </row>
    <row r="3" spans="1:29" s="396" customFormat="1" ht="28.5" customHeight="1" thickBot="1">
      <c r="A3" s="245" t="s">
        <v>2335</v>
      </c>
      <c r="B3" s="607" t="e">
        <f ca="1">IF(C2="——",C50,ROUND(B2*10000/D3,0))</f>
        <v>#DIV/0!</v>
      </c>
      <c r="C3" s="398" t="s">
        <v>2647</v>
      </c>
      <c r="D3" s="397">
        <f>IF(D1="",'数据-汇总表'!E3,SUMIF('数据-汇总表'!$C19:$C33,D1,'数据-汇总表'!$E19:$E33))</f>
        <v>67330.170000000013</v>
      </c>
      <c r="E3" s="2655"/>
      <c r="F3" s="1124"/>
      <c r="G3" s="1123"/>
      <c r="H3" s="1123"/>
      <c r="I3" s="1123"/>
      <c r="J3" s="1123"/>
      <c r="K3" s="1125"/>
      <c r="L3" s="1126"/>
      <c r="M3" s="1127"/>
      <c r="N3" s="1127"/>
      <c r="O3" s="1127"/>
      <c r="P3" s="765"/>
      <c r="Q3" s="765"/>
      <c r="R3" s="765"/>
      <c r="S3" s="765"/>
      <c r="T3" s="765"/>
      <c r="U3" s="765"/>
      <c r="V3" s="765"/>
      <c r="W3" s="765"/>
      <c r="X3" s="765"/>
      <c r="Y3" s="765"/>
      <c r="Z3" s="765"/>
      <c r="AA3" s="765"/>
      <c r="AB3" s="765"/>
      <c r="AC3" s="766"/>
    </row>
    <row r="4" spans="1:29" ht="15">
      <c r="A4" s="399" t="s">
        <v>2648</v>
      </c>
      <c r="B4" s="400"/>
      <c r="C4" s="3201" t="s">
        <v>2649</v>
      </c>
      <c r="D4" s="3202"/>
      <c r="E4" s="3203" t="s">
        <v>2650</v>
      </c>
      <c r="F4" s="3204"/>
      <c r="G4" s="3201" t="s">
        <v>2651</v>
      </c>
      <c r="H4" s="3202"/>
      <c r="I4" s="3201" t="s">
        <v>2652</v>
      </c>
      <c r="J4" s="3202"/>
      <c r="K4" s="608" t="s">
        <v>2653</v>
      </c>
      <c r="L4" s="1128"/>
      <c r="M4" s="1129"/>
      <c r="N4" s="1129"/>
      <c r="O4" s="1129"/>
      <c r="P4" s="3269" t="s">
        <v>2654</v>
      </c>
      <c r="Q4" s="3270"/>
      <c r="R4" s="3264" t="s">
        <v>2650</v>
      </c>
      <c r="S4" s="3265"/>
      <c r="T4" s="3264" t="s">
        <v>2651</v>
      </c>
      <c r="U4" s="3265"/>
      <c r="V4" s="3273" t="s">
        <v>2652</v>
      </c>
      <c r="W4" s="3273"/>
      <c r="X4" s="2662"/>
      <c r="Y4" s="3264" t="s">
        <v>2654</v>
      </c>
      <c r="Z4" s="3265"/>
      <c r="AA4" s="3263" t="s">
        <v>2650</v>
      </c>
      <c r="AB4" s="3263" t="s">
        <v>2651</v>
      </c>
      <c r="AC4" s="3266" t="s">
        <v>2652</v>
      </c>
    </row>
    <row r="5" spans="1:29" ht="15">
      <c r="A5" s="402"/>
      <c r="B5" s="403"/>
      <c r="C5" s="3192" t="s">
        <v>2545</v>
      </c>
      <c r="D5" s="3193"/>
      <c r="E5" s="3261" t="s">
        <v>2546</v>
      </c>
      <c r="F5" s="3191"/>
      <c r="G5" s="3192" t="s">
        <v>2547</v>
      </c>
      <c r="H5" s="3193"/>
      <c r="I5" s="3192" t="s">
        <v>2548</v>
      </c>
      <c r="J5" s="3193"/>
      <c r="K5" s="608"/>
      <c r="L5" s="1128"/>
      <c r="M5" s="1129"/>
      <c r="N5" s="1129"/>
      <c r="O5" s="1129"/>
      <c r="P5" s="3271"/>
      <c r="Q5" s="3208"/>
      <c r="R5" s="3188"/>
      <c r="S5" s="3189"/>
      <c r="T5" s="3188"/>
      <c r="U5" s="3189"/>
      <c r="V5" s="3213"/>
      <c r="W5" s="3213"/>
      <c r="X5" s="1810"/>
      <c r="Y5" s="3188"/>
      <c r="Z5" s="3189"/>
      <c r="AA5" s="3182"/>
      <c r="AB5" s="3182"/>
      <c r="AC5" s="3267"/>
    </row>
    <row r="6" spans="1:29" ht="15.75" thickBot="1">
      <c r="A6" s="404"/>
      <c r="B6" s="405"/>
      <c r="C6" s="3194" t="s">
        <v>2549</v>
      </c>
      <c r="D6" s="3195"/>
      <c r="E6" s="3262" t="s">
        <v>2549</v>
      </c>
      <c r="F6" s="3198"/>
      <c r="G6" s="3194" t="s">
        <v>2549</v>
      </c>
      <c r="H6" s="3195"/>
      <c r="I6" s="3194" t="s">
        <v>2549</v>
      </c>
      <c r="J6" s="3195"/>
      <c r="K6" s="608" t="s">
        <v>2550</v>
      </c>
      <c r="L6" s="1128"/>
      <c r="M6" s="1129"/>
      <c r="N6" s="1129"/>
      <c r="O6" s="1129"/>
      <c r="P6" s="3272"/>
      <c r="Q6" s="3210"/>
      <c r="R6" s="3188"/>
      <c r="S6" s="3189"/>
      <c r="T6" s="3211"/>
      <c r="U6" s="3212"/>
      <c r="V6" s="3213"/>
      <c r="W6" s="3213"/>
      <c r="X6" s="1810"/>
      <c r="Y6" s="3211"/>
      <c r="Z6" s="3212"/>
      <c r="AA6" s="3183"/>
      <c r="AB6" s="3183"/>
      <c r="AC6" s="3268"/>
    </row>
    <row r="7" spans="1:29" s="115" customFormat="1" ht="15.75" thickBot="1">
      <c r="A7" s="406" t="s">
        <v>2551</v>
      </c>
      <c r="B7" s="407"/>
      <c r="C7" s="408">
        <f>'数据-取费表'!B2</f>
        <v>43056</v>
      </c>
      <c r="D7" s="409">
        <v>100</v>
      </c>
      <c r="E7" s="410"/>
      <c r="F7" s="411">
        <f>SUMIF(59:59,YEAR(E7)&amp;"-"&amp;MONTH(E7),60:60)</f>
        <v>0</v>
      </c>
      <c r="G7" s="410"/>
      <c r="H7" s="409">
        <f>SUMIF(59:59,YEAR(G7)&amp;"-"&amp;MONTH(G7),60:60)</f>
        <v>0</v>
      </c>
      <c r="I7" s="410"/>
      <c r="J7" s="409">
        <f>SUMIF(59:59,YEAR(I7)&amp;"-"&amp;MONTH(I7),60:60)</f>
        <v>0</v>
      </c>
      <c r="K7" s="609"/>
      <c r="L7" s="1130"/>
      <c r="M7" s="1131"/>
      <c r="N7" s="1131"/>
      <c r="O7" s="1131"/>
      <c r="P7" s="3274" t="s">
        <v>2552</v>
      </c>
      <c r="Q7" s="3214"/>
      <c r="R7" s="767" t="s">
        <v>17</v>
      </c>
      <c r="S7" s="768">
        <f t="shared" ref="S7:S15" si="0">F7</f>
        <v>0</v>
      </c>
      <c r="T7" s="767" t="s">
        <v>17</v>
      </c>
      <c r="U7" s="768">
        <f t="shared" ref="U7:U15" si="1">H7</f>
        <v>0</v>
      </c>
      <c r="V7" s="767" t="s">
        <v>17</v>
      </c>
      <c r="W7" s="768">
        <f t="shared" ref="W7:W15" si="2">J7</f>
        <v>0</v>
      </c>
      <c r="X7" s="769"/>
      <c r="Y7" s="3184" t="s">
        <v>2552</v>
      </c>
      <c r="Z7" s="3185"/>
      <c r="AA7" s="770" t="e">
        <f>D7/F7</f>
        <v>#DIV/0!</v>
      </c>
      <c r="AB7" s="770" t="e">
        <f>D7/H7</f>
        <v>#DIV/0!</v>
      </c>
      <c r="AC7" s="2663" t="e">
        <f>D7/J7</f>
        <v>#DIV/0!</v>
      </c>
    </row>
    <row r="8" spans="1:29" s="115" customFormat="1" ht="15.75" thickBot="1">
      <c r="A8" s="406" t="s">
        <v>2553</v>
      </c>
      <c r="B8" s="407"/>
      <c r="C8" s="412" t="s">
        <v>2655</v>
      </c>
      <c r="D8" s="409">
        <v>100</v>
      </c>
      <c r="E8" s="412"/>
      <c r="F8" s="411">
        <f>SUMIF(62:62,E8,63:63)-SUMIF(62:62,C8,63:63)+100</f>
        <v>0</v>
      </c>
      <c r="G8" s="412"/>
      <c r="H8" s="409">
        <f>SUMIF(62:62,G8,63:63)-SUMIF(62:62,C8,63:63)+100</f>
        <v>0</v>
      </c>
      <c r="I8" s="412"/>
      <c r="J8" s="409">
        <f>SUMIF(62:62,I8,63:63)-SUMIF(62:62,C8,63:63)+100</f>
        <v>0</v>
      </c>
      <c r="K8" s="609"/>
      <c r="L8" s="1130"/>
      <c r="M8" s="1131"/>
      <c r="N8" s="1131"/>
      <c r="O8" s="1131"/>
      <c r="P8" s="3274" t="s">
        <v>2555</v>
      </c>
      <c r="Q8" s="3185"/>
      <c r="R8" s="767" t="s">
        <v>17</v>
      </c>
      <c r="S8" s="768">
        <f t="shared" si="0"/>
        <v>0</v>
      </c>
      <c r="T8" s="767" t="s">
        <v>17</v>
      </c>
      <c r="U8" s="768">
        <f t="shared" si="1"/>
        <v>0</v>
      </c>
      <c r="V8" s="767" t="s">
        <v>17</v>
      </c>
      <c r="W8" s="768">
        <f t="shared" si="2"/>
        <v>0</v>
      </c>
      <c r="X8" s="769"/>
      <c r="Y8" s="3184" t="s">
        <v>2555</v>
      </c>
      <c r="Z8" s="3185"/>
      <c r="AA8" s="770" t="e">
        <f t="shared" ref="AA8:AA47" si="3">D8/F8</f>
        <v>#DIV/0!</v>
      </c>
      <c r="AB8" s="770" t="e">
        <f t="shared" ref="AB8:AB47" si="4">D8/H8</f>
        <v>#DIV/0!</v>
      </c>
      <c r="AC8" s="2663" t="e">
        <f t="shared" ref="AC8:AC47" si="5">D8/J8</f>
        <v>#DIV/0!</v>
      </c>
    </row>
    <row r="9" spans="1:29" s="115" customFormat="1">
      <c r="A9" s="413" t="s">
        <v>2556</v>
      </c>
      <c r="B9" s="70" t="s">
        <v>2557</v>
      </c>
      <c r="C9" s="414"/>
      <c r="D9" s="132">
        <v>100</v>
      </c>
      <c r="E9" s="417"/>
      <c r="F9" s="132">
        <f>SUMIF(64:64,E9,65:65)-SUMIF(64:64,C9,65:65)+100</f>
        <v>100</v>
      </c>
      <c r="G9" s="415"/>
      <c r="H9" s="132">
        <f>SUMIF(64:64,G9,65:65)-SUMIF(64:64,C9,65:65)+100</f>
        <v>100</v>
      </c>
      <c r="I9" s="415"/>
      <c r="J9" s="132">
        <f>SUMIF(64:64,I9,65:65)-SUMIF(64:64,C9,65:65)+100</f>
        <v>100</v>
      </c>
      <c r="K9" s="609"/>
      <c r="L9" s="1130"/>
      <c r="M9" s="1131"/>
      <c r="N9" s="1131"/>
      <c r="O9" s="1131"/>
      <c r="P9" s="3224" t="s">
        <v>2558</v>
      </c>
      <c r="Q9" s="1792" t="str">
        <f t="shared" ref="Q9:Q15" si="6">B9</f>
        <v>用途</v>
      </c>
      <c r="R9" s="767" t="s">
        <v>17</v>
      </c>
      <c r="S9" s="768">
        <f t="shared" si="0"/>
        <v>100</v>
      </c>
      <c r="T9" s="767" t="s">
        <v>17</v>
      </c>
      <c r="U9" s="768">
        <f t="shared" si="1"/>
        <v>100</v>
      </c>
      <c r="V9" s="767" t="s">
        <v>17</v>
      </c>
      <c r="W9" s="768">
        <f t="shared" si="2"/>
        <v>100</v>
      </c>
      <c r="X9" s="769"/>
      <c r="Y9" s="3058" t="s">
        <v>2559</v>
      </c>
      <c r="Z9" s="54" t="str">
        <f t="shared" ref="Z9:Z15" si="7">Q9</f>
        <v>用途</v>
      </c>
      <c r="AA9" s="770">
        <f t="shared" si="3"/>
        <v>1</v>
      </c>
      <c r="AB9" s="770">
        <f t="shared" si="4"/>
        <v>1</v>
      </c>
      <c r="AC9" s="2663">
        <f t="shared" si="5"/>
        <v>1</v>
      </c>
    </row>
    <row r="10" spans="1:29" s="425" customFormat="1" ht="27">
      <c r="A10" s="419"/>
      <c r="B10" s="420" t="s">
        <v>2560</v>
      </c>
      <c r="C10" s="421"/>
      <c r="D10" s="133">
        <v>100</v>
      </c>
      <c r="E10" s="421"/>
      <c r="F10" s="133">
        <f>SUMIF(66:66,E10,67:67)-SUMIF(66:66,C10,67:67)+100</f>
        <v>100</v>
      </c>
      <c r="G10" s="422"/>
      <c r="H10" s="133">
        <f>SUMIF(66:66,G10,67:67)-SUMIF(66:66,C10,67:67)+100</f>
        <v>100</v>
      </c>
      <c r="I10" s="421"/>
      <c r="J10" s="133">
        <f>SUMIF(66:66,I10,67:67)-SUMIF(66:66,C10,67:67)+100</f>
        <v>100</v>
      </c>
      <c r="K10" s="610"/>
      <c r="L10" s="1133"/>
      <c r="M10" s="1134"/>
      <c r="N10" s="1134"/>
      <c r="O10" s="1134"/>
      <c r="P10" s="3224"/>
      <c r="Q10" s="1792" t="str">
        <f t="shared" si="6"/>
        <v>土地使用年限（年）</v>
      </c>
      <c r="R10" s="767" t="s">
        <v>17</v>
      </c>
      <c r="S10" s="768">
        <f t="shared" si="0"/>
        <v>100</v>
      </c>
      <c r="T10" s="767" t="s">
        <v>17</v>
      </c>
      <c r="U10" s="768">
        <f t="shared" si="1"/>
        <v>100</v>
      </c>
      <c r="V10" s="767" t="s">
        <v>17</v>
      </c>
      <c r="W10" s="768">
        <f t="shared" si="2"/>
        <v>100</v>
      </c>
      <c r="X10" s="769"/>
      <c r="Y10" s="3058"/>
      <c r="Z10" s="54" t="str">
        <f t="shared" si="7"/>
        <v>土地使用年限（年）</v>
      </c>
      <c r="AA10" s="770">
        <f t="shared" si="3"/>
        <v>1</v>
      </c>
      <c r="AB10" s="770">
        <f t="shared" si="4"/>
        <v>1</v>
      </c>
      <c r="AC10" s="2663">
        <f t="shared" si="5"/>
        <v>1</v>
      </c>
    </row>
    <row r="11" spans="1:29" ht="15">
      <c r="A11" s="426"/>
      <c r="B11" s="420" t="s">
        <v>2561</v>
      </c>
      <c r="C11" s="427"/>
      <c r="D11" s="133">
        <v>100</v>
      </c>
      <c r="E11" s="427"/>
      <c r="F11" s="133" t="e">
        <f>LOOKUP(E11,69:69,70:70)-LOOKUP(C11,69:69,70:70)+100</f>
        <v>#N/A</v>
      </c>
      <c r="G11" s="428"/>
      <c r="H11" s="133" t="e">
        <f>LOOKUP(G11,69:69,70:70)-LOOKUP(C11,69:69,70:70)+100</f>
        <v>#N/A</v>
      </c>
      <c r="I11" s="427"/>
      <c r="J11" s="133" t="e">
        <f>LOOKUP(I11,69:69,70:70)-LOOKUP(C11,69:69,70:70)+100</f>
        <v>#N/A</v>
      </c>
      <c r="K11" s="610"/>
      <c r="L11" s="1136"/>
      <c r="M11" s="1129"/>
      <c r="N11" s="1129"/>
      <c r="O11" s="1129"/>
      <c r="P11" s="3224"/>
      <c r="Q11" s="1792" t="str">
        <f t="shared" si="6"/>
        <v>容积率</v>
      </c>
      <c r="R11" s="767" t="s">
        <v>17</v>
      </c>
      <c r="S11" s="768" t="e">
        <f t="shared" si="0"/>
        <v>#N/A</v>
      </c>
      <c r="T11" s="767" t="s">
        <v>17</v>
      </c>
      <c r="U11" s="768" t="e">
        <f t="shared" si="1"/>
        <v>#N/A</v>
      </c>
      <c r="V11" s="767" t="s">
        <v>17</v>
      </c>
      <c r="W11" s="768" t="e">
        <f t="shared" si="2"/>
        <v>#N/A</v>
      </c>
      <c r="X11" s="769"/>
      <c r="Y11" s="3058"/>
      <c r="Z11" s="54" t="str">
        <f t="shared" si="7"/>
        <v>容积率</v>
      </c>
      <c r="AA11" s="770" t="e">
        <f t="shared" si="3"/>
        <v>#N/A</v>
      </c>
      <c r="AB11" s="770" t="e">
        <f t="shared" si="4"/>
        <v>#N/A</v>
      </c>
      <c r="AC11" s="2663" t="e">
        <f t="shared" si="5"/>
        <v>#N/A</v>
      </c>
    </row>
    <row r="12" spans="1:29" s="115" customFormat="1" ht="15">
      <c r="A12" s="429"/>
      <c r="B12" s="2594">
        <v>111</v>
      </c>
      <c r="C12" s="430"/>
      <c r="D12" s="431">
        <v>100</v>
      </c>
      <c r="E12" s="430"/>
      <c r="F12" s="133">
        <f>SUMIF(71:71,E12,72:72)-SUMIF(71:71,C12,72:72)+100</f>
        <v>100</v>
      </c>
      <c r="G12" s="2664"/>
      <c r="H12" s="133">
        <f>SUMIF(71:71,G12,72:72)-SUMIF(71:71,C12,72:72)+100</f>
        <v>100</v>
      </c>
      <c r="I12" s="430"/>
      <c r="J12" s="133">
        <f>SUMIF(71:71,I12,72:72)-SUMIF(71:71,C12,72:72)+100</f>
        <v>100</v>
      </c>
      <c r="K12" s="611"/>
      <c r="L12" s="1130"/>
      <c r="M12" s="1131"/>
      <c r="N12" s="1131"/>
      <c r="O12" s="1131"/>
      <c r="P12" s="3224"/>
      <c r="Q12" s="1792">
        <f t="shared" si="6"/>
        <v>111</v>
      </c>
      <c r="R12" s="767" t="s">
        <v>17</v>
      </c>
      <c r="S12" s="768">
        <f t="shared" si="0"/>
        <v>100</v>
      </c>
      <c r="T12" s="767" t="s">
        <v>17</v>
      </c>
      <c r="U12" s="768">
        <f t="shared" si="1"/>
        <v>100</v>
      </c>
      <c r="V12" s="767" t="s">
        <v>17</v>
      </c>
      <c r="W12" s="768">
        <f t="shared" si="2"/>
        <v>100</v>
      </c>
      <c r="X12" s="769"/>
      <c r="Y12" s="3058"/>
      <c r="Z12" s="54">
        <f t="shared" si="7"/>
        <v>111</v>
      </c>
      <c r="AA12" s="770">
        <f>D12/F12</f>
        <v>1</v>
      </c>
      <c r="AB12" s="770">
        <f>D12/H12</f>
        <v>1</v>
      </c>
      <c r="AC12" s="2663">
        <f>D12/J12</f>
        <v>1</v>
      </c>
    </row>
    <row r="13" spans="1:29" ht="15">
      <c r="A13" s="426"/>
      <c r="B13" s="2594">
        <v>111</v>
      </c>
      <c r="C13" s="432"/>
      <c r="D13" s="433">
        <v>100</v>
      </c>
      <c r="E13" s="430"/>
      <c r="F13" s="133">
        <f>SUMIF(73:73,E13,74:74)-SUMIF(73:73,C13,74:74)+100</f>
        <v>100</v>
      </c>
      <c r="G13" s="2664"/>
      <c r="H13" s="433">
        <f>SUMIF(73:73,G13,74:74)-SUMIF(73:73,C13,74:74)+100</f>
        <v>100</v>
      </c>
      <c r="I13" s="430"/>
      <c r="J13" s="433">
        <f>SUMIF(73:73,I13,74:74)-SUMIF(73:73,C13,74:74)+100</f>
        <v>100</v>
      </c>
      <c r="K13" s="611"/>
      <c r="L13" s="1138"/>
      <c r="M13" s="1129"/>
      <c r="N13" s="1129"/>
      <c r="O13" s="1129"/>
      <c r="P13" s="3224"/>
      <c r="Q13" s="1792">
        <f t="shared" si="6"/>
        <v>111</v>
      </c>
      <c r="R13" s="767" t="s">
        <v>17</v>
      </c>
      <c r="S13" s="768">
        <f t="shared" si="0"/>
        <v>100</v>
      </c>
      <c r="T13" s="767" t="s">
        <v>17</v>
      </c>
      <c r="U13" s="768">
        <f t="shared" si="1"/>
        <v>100</v>
      </c>
      <c r="V13" s="767" t="s">
        <v>17</v>
      </c>
      <c r="W13" s="768">
        <f t="shared" si="2"/>
        <v>100</v>
      </c>
      <c r="X13" s="769"/>
      <c r="Y13" s="3058"/>
      <c r="Z13" s="54">
        <f t="shared" si="7"/>
        <v>111</v>
      </c>
      <c r="AA13" s="770">
        <f t="shared" si="3"/>
        <v>1</v>
      </c>
      <c r="AB13" s="770">
        <f t="shared" si="4"/>
        <v>1</v>
      </c>
      <c r="AC13" s="2663">
        <f t="shared" si="5"/>
        <v>1</v>
      </c>
    </row>
    <row r="14" spans="1:29" ht="15.75" thickBot="1">
      <c r="A14" s="434"/>
      <c r="B14" s="2596">
        <v>111</v>
      </c>
      <c r="C14" s="435"/>
      <c r="D14" s="436">
        <v>100</v>
      </c>
      <c r="E14" s="626"/>
      <c r="F14" s="436">
        <f>SUMIF(75:75,E14,76:76)-SUMIF(75:75,C14,76:76)+100</f>
        <v>100</v>
      </c>
      <c r="G14" s="2664"/>
      <c r="H14" s="436">
        <f>SUMIF(75:75,G14,76:76)-SUMIF(75:75,C14,76:76)+100</f>
        <v>100</v>
      </c>
      <c r="I14" s="430"/>
      <c r="J14" s="436">
        <f>SUMIF(75:75,I14,76:76)-SUMIF(75:75,C14,76:76)+100</f>
        <v>100</v>
      </c>
      <c r="K14" s="611"/>
      <c r="L14" s="1138"/>
      <c r="M14" s="1129"/>
      <c r="N14" s="1129"/>
      <c r="O14" s="1129"/>
      <c r="P14" s="3224"/>
      <c r="Q14" s="1792">
        <f t="shared" si="6"/>
        <v>111</v>
      </c>
      <c r="R14" s="767" t="s">
        <v>17</v>
      </c>
      <c r="S14" s="768">
        <f t="shared" si="0"/>
        <v>100</v>
      </c>
      <c r="T14" s="767" t="s">
        <v>17</v>
      </c>
      <c r="U14" s="768">
        <f t="shared" si="1"/>
        <v>100</v>
      </c>
      <c r="V14" s="767" t="s">
        <v>17</v>
      </c>
      <c r="W14" s="768">
        <f t="shared" si="2"/>
        <v>100</v>
      </c>
      <c r="X14" s="769"/>
      <c r="Y14" s="3058"/>
      <c r="Z14" s="54">
        <f t="shared" si="7"/>
        <v>111</v>
      </c>
      <c r="AA14" s="770">
        <f t="shared" si="3"/>
        <v>1</v>
      </c>
      <c r="AB14" s="770">
        <f t="shared" si="4"/>
        <v>1</v>
      </c>
      <c r="AC14" s="2663">
        <f t="shared" si="5"/>
        <v>1</v>
      </c>
    </row>
    <row r="15" spans="1:29" ht="71.25">
      <c r="A15" s="438" t="s">
        <v>2562</v>
      </c>
      <c r="B15" s="627" t="s">
        <v>2690</v>
      </c>
      <c r="C15" s="2665"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8"/>
      <c r="M15" s="1129"/>
      <c r="N15" s="1129"/>
      <c r="O15" s="1129"/>
      <c r="P15" s="3233" t="s">
        <v>2563</v>
      </c>
      <c r="Q15" s="1807" t="str">
        <f t="shared" si="6"/>
        <v>办公集聚程度</v>
      </c>
      <c r="R15" s="771" t="s">
        <v>17</v>
      </c>
      <c r="S15" s="772">
        <f t="shared" si="0"/>
        <v>100</v>
      </c>
      <c r="T15" s="771" t="s">
        <v>17</v>
      </c>
      <c r="U15" s="772">
        <f t="shared" si="1"/>
        <v>100</v>
      </c>
      <c r="V15" s="771" t="s">
        <v>17</v>
      </c>
      <c r="W15" s="772">
        <f t="shared" si="2"/>
        <v>100</v>
      </c>
      <c r="X15" s="1810"/>
      <c r="Y15" s="3215" t="s">
        <v>2563</v>
      </c>
      <c r="Z15" s="1811" t="str">
        <f t="shared" si="7"/>
        <v>办公集聚程度</v>
      </c>
      <c r="AA15" s="1808">
        <f t="shared" si="3"/>
        <v>1</v>
      </c>
      <c r="AB15" s="1808">
        <f t="shared" si="4"/>
        <v>1</v>
      </c>
      <c r="AC15" s="2666">
        <f t="shared" si="5"/>
        <v>1</v>
      </c>
    </row>
    <row r="16" spans="1:29" ht="15">
      <c r="A16" s="426"/>
      <c r="B16" s="628"/>
      <c r="C16" s="2605"/>
      <c r="D16" s="446"/>
      <c r="E16" s="445"/>
      <c r="F16" s="446"/>
      <c r="G16" s="2605"/>
      <c r="H16" s="448"/>
      <c r="I16" s="445"/>
      <c r="J16" s="446"/>
      <c r="K16" s="613"/>
      <c r="L16" s="1138"/>
      <c r="M16" s="1129"/>
      <c r="N16" s="1129"/>
      <c r="O16" s="1129"/>
      <c r="P16" s="3234"/>
      <c r="Q16" s="1807"/>
      <c r="R16" s="771"/>
      <c r="S16" s="772"/>
      <c r="T16" s="771"/>
      <c r="U16" s="772"/>
      <c r="V16" s="771"/>
      <c r="W16" s="772"/>
      <c r="X16" s="1810"/>
      <c r="Y16" s="3216"/>
      <c r="Z16" s="1811"/>
      <c r="AA16" s="1808">
        <v>1</v>
      </c>
      <c r="AB16" s="1808">
        <v>1</v>
      </c>
      <c r="AC16" s="2666">
        <v>1</v>
      </c>
    </row>
    <row r="17" spans="1:29" ht="71.25">
      <c r="A17" s="426"/>
      <c r="B17" s="629" t="s">
        <v>2103</v>
      </c>
      <c r="C17" s="2667"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8"/>
      <c r="M17" s="1129"/>
      <c r="N17" s="1129"/>
      <c r="O17" s="1129"/>
      <c r="P17" s="3234"/>
      <c r="Q17" s="1807" t="str">
        <f>B17</f>
        <v>交通便捷度</v>
      </c>
      <c r="R17" s="771" t="s">
        <v>17</v>
      </c>
      <c r="S17" s="772">
        <f>F17</f>
        <v>100</v>
      </c>
      <c r="T17" s="771" t="s">
        <v>17</v>
      </c>
      <c r="U17" s="772">
        <f>H17</f>
        <v>100</v>
      </c>
      <c r="V17" s="771" t="s">
        <v>17</v>
      </c>
      <c r="W17" s="772">
        <f>J17</f>
        <v>100</v>
      </c>
      <c r="X17" s="1810"/>
      <c r="Y17" s="3216"/>
      <c r="Z17" s="1811" t="str">
        <f>Q17</f>
        <v>交通便捷度</v>
      </c>
      <c r="AA17" s="1808">
        <f t="shared" si="3"/>
        <v>1</v>
      </c>
      <c r="AB17" s="1808">
        <f t="shared" si="4"/>
        <v>1</v>
      </c>
      <c r="AC17" s="2666">
        <f t="shared" si="5"/>
        <v>1</v>
      </c>
    </row>
    <row r="18" spans="1:29" ht="15">
      <c r="A18" s="426"/>
      <c r="B18" s="630"/>
      <c r="C18" s="2668"/>
      <c r="D18" s="448"/>
      <c r="E18" s="2603"/>
      <c r="F18" s="448"/>
      <c r="G18" s="2604"/>
      <c r="H18" s="446"/>
      <c r="I18" s="2604"/>
      <c r="J18" s="446"/>
      <c r="K18" s="613"/>
      <c r="L18" s="1138"/>
      <c r="M18" s="1129"/>
      <c r="N18" s="1129"/>
      <c r="O18" s="1129"/>
      <c r="P18" s="3234"/>
      <c r="Q18" s="1807"/>
      <c r="R18" s="771"/>
      <c r="S18" s="772"/>
      <c r="T18" s="771"/>
      <c r="U18" s="772"/>
      <c r="V18" s="771"/>
      <c r="W18" s="772"/>
      <c r="X18" s="1810"/>
      <c r="Y18" s="3216"/>
      <c r="Z18" s="1811"/>
      <c r="AA18" s="1808">
        <v>1</v>
      </c>
      <c r="AB18" s="1808">
        <v>1</v>
      </c>
      <c r="AC18" s="2666">
        <v>1</v>
      </c>
    </row>
    <row r="19" spans="1:29" ht="42.75">
      <c r="A19" s="426"/>
      <c r="B19" s="629" t="s">
        <v>2691</v>
      </c>
      <c r="C19" s="2667"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8"/>
      <c r="M19" s="1129"/>
      <c r="N19" s="1129"/>
      <c r="O19" s="1129"/>
      <c r="P19" s="3234"/>
      <c r="Q19" s="1807" t="str">
        <f>B19</f>
        <v>公共配套设施</v>
      </c>
      <c r="R19" s="771" t="s">
        <v>17</v>
      </c>
      <c r="S19" s="772">
        <f>F19</f>
        <v>100</v>
      </c>
      <c r="T19" s="771" t="s">
        <v>17</v>
      </c>
      <c r="U19" s="772">
        <f>H19</f>
        <v>100</v>
      </c>
      <c r="V19" s="771" t="s">
        <v>17</v>
      </c>
      <c r="W19" s="772">
        <f>J19</f>
        <v>100</v>
      </c>
      <c r="X19" s="1810"/>
      <c r="Y19" s="3216"/>
      <c r="Z19" s="1811" t="str">
        <f>Q19</f>
        <v>公共配套设施</v>
      </c>
      <c r="AA19" s="1808">
        <f t="shared" si="3"/>
        <v>1</v>
      </c>
      <c r="AB19" s="1808">
        <f t="shared" si="4"/>
        <v>1</v>
      </c>
      <c r="AC19" s="2666">
        <f t="shared" si="5"/>
        <v>1</v>
      </c>
    </row>
    <row r="20" spans="1:29" ht="15">
      <c r="A20" s="426"/>
      <c r="B20" s="630"/>
      <c r="C20" s="2605"/>
      <c r="D20" s="446"/>
      <c r="E20" s="2598"/>
      <c r="F20" s="446"/>
      <c r="G20" s="2599"/>
      <c r="H20" s="446"/>
      <c r="I20" s="2599"/>
      <c r="J20" s="446"/>
      <c r="K20" s="613"/>
      <c r="L20" s="1138"/>
      <c r="M20" s="1129"/>
      <c r="N20" s="1129"/>
      <c r="O20" s="1129"/>
      <c r="P20" s="3234"/>
      <c r="Q20" s="1807"/>
      <c r="R20" s="771"/>
      <c r="S20" s="772"/>
      <c r="T20" s="771"/>
      <c r="U20" s="772"/>
      <c r="V20" s="771"/>
      <c r="W20" s="772"/>
      <c r="X20" s="1810"/>
      <c r="Y20" s="3216"/>
      <c r="Z20" s="1811"/>
      <c r="AA20" s="1808">
        <v>1</v>
      </c>
      <c r="AB20" s="1808">
        <v>1</v>
      </c>
      <c r="AC20" s="2666">
        <v>1</v>
      </c>
    </row>
    <row r="21" spans="1:29" ht="28.5">
      <c r="A21" s="426"/>
      <c r="B21" s="631" t="s">
        <v>2692</v>
      </c>
      <c r="C21" s="2667"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8"/>
      <c r="M21" s="1129"/>
      <c r="N21" s="1129"/>
      <c r="O21" s="1129"/>
      <c r="P21" s="3234"/>
      <c r="Q21" s="1807" t="str">
        <f>B21</f>
        <v>基础设施水平</v>
      </c>
      <c r="R21" s="771" t="s">
        <v>17</v>
      </c>
      <c r="S21" s="772">
        <f>F21</f>
        <v>100</v>
      </c>
      <c r="T21" s="771" t="s">
        <v>17</v>
      </c>
      <c r="U21" s="772">
        <f>H21</f>
        <v>100</v>
      </c>
      <c r="V21" s="771" t="s">
        <v>17</v>
      </c>
      <c r="W21" s="772">
        <f>J21</f>
        <v>100</v>
      </c>
      <c r="X21" s="1810"/>
      <c r="Y21" s="3216"/>
      <c r="Z21" s="1811" t="str">
        <f>Q21</f>
        <v>基础设施水平</v>
      </c>
      <c r="AA21" s="1808">
        <f t="shared" ref="AA21" si="8">D21/F21</f>
        <v>1</v>
      </c>
      <c r="AB21" s="1808">
        <f t="shared" ref="AB21" si="9">D21/H21</f>
        <v>1</v>
      </c>
      <c r="AC21" s="2666">
        <f t="shared" ref="AC21" si="10">D21/J21</f>
        <v>1</v>
      </c>
    </row>
    <row r="22" spans="1:29" ht="15">
      <c r="A22" s="426"/>
      <c r="B22" s="631"/>
      <c r="C22" s="2668"/>
      <c r="D22" s="446"/>
      <c r="E22" s="445"/>
      <c r="F22" s="446"/>
      <c r="G22" s="2605"/>
      <c r="H22" s="446"/>
      <c r="I22" s="2605"/>
      <c r="J22" s="446"/>
      <c r="K22" s="1381"/>
      <c r="L22" s="1138"/>
      <c r="M22" s="1129"/>
      <c r="N22" s="1129"/>
      <c r="O22" s="1129"/>
      <c r="P22" s="3234"/>
      <c r="Q22" s="1807"/>
      <c r="R22" s="771"/>
      <c r="S22" s="772"/>
      <c r="T22" s="771"/>
      <c r="U22" s="772"/>
      <c r="V22" s="771"/>
      <c r="W22" s="772"/>
      <c r="X22" s="1810"/>
      <c r="Y22" s="3216"/>
      <c r="Z22" s="1811"/>
      <c r="AA22" s="1808">
        <v>1</v>
      </c>
      <c r="AB22" s="1808">
        <v>1</v>
      </c>
      <c r="AC22" s="2666">
        <v>1</v>
      </c>
    </row>
    <row r="23" spans="1:29" ht="42.75">
      <c r="A23" s="426"/>
      <c r="B23" s="629" t="s">
        <v>2693</v>
      </c>
      <c r="C23" s="2667"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8"/>
      <c r="M23" s="1129"/>
      <c r="N23" s="1129"/>
      <c r="O23" s="1129"/>
      <c r="P23" s="3234"/>
      <c r="Q23" s="1807" t="str">
        <f>B23</f>
        <v>环境质量</v>
      </c>
      <c r="R23" s="771" t="s">
        <v>17</v>
      </c>
      <c r="S23" s="772">
        <f>F23</f>
        <v>100</v>
      </c>
      <c r="T23" s="771" t="s">
        <v>17</v>
      </c>
      <c r="U23" s="772">
        <f>H23</f>
        <v>100</v>
      </c>
      <c r="V23" s="771" t="s">
        <v>17</v>
      </c>
      <c r="W23" s="772">
        <f>J23</f>
        <v>100</v>
      </c>
      <c r="X23" s="1810"/>
      <c r="Y23" s="3216"/>
      <c r="Z23" s="1811" t="str">
        <f>Q23</f>
        <v>环境质量</v>
      </c>
      <c r="AA23" s="1808">
        <f t="shared" si="3"/>
        <v>1</v>
      </c>
      <c r="AB23" s="1808">
        <f t="shared" si="4"/>
        <v>1</v>
      </c>
      <c r="AC23" s="2666">
        <f t="shared" si="5"/>
        <v>1</v>
      </c>
    </row>
    <row r="24" spans="1:29" ht="15">
      <c r="A24" s="426"/>
      <c r="B24" s="631"/>
      <c r="C24" s="2605"/>
      <c r="D24" s="446"/>
      <c r="E24" s="2598"/>
      <c r="F24" s="446"/>
      <c r="G24" s="2599"/>
      <c r="H24" s="446"/>
      <c r="I24" s="2599"/>
      <c r="J24" s="446"/>
      <c r="K24" s="613"/>
      <c r="L24" s="1138"/>
      <c r="M24" s="1129"/>
      <c r="N24" s="1129"/>
      <c r="O24" s="1129"/>
      <c r="P24" s="3234"/>
      <c r="Q24" s="1807"/>
      <c r="R24" s="771"/>
      <c r="S24" s="772"/>
      <c r="T24" s="771"/>
      <c r="U24" s="772"/>
      <c r="V24" s="771"/>
      <c r="W24" s="772"/>
      <c r="X24" s="1810"/>
      <c r="Y24" s="3216"/>
      <c r="Z24" s="1811"/>
      <c r="AA24" s="1808">
        <v>1</v>
      </c>
      <c r="AB24" s="1808">
        <v>1</v>
      </c>
      <c r="AC24" s="2666">
        <v>1</v>
      </c>
    </row>
    <row r="25" spans="1:29" ht="27">
      <c r="A25" s="402"/>
      <c r="B25" s="629" t="s">
        <v>2694</v>
      </c>
      <c r="C25" s="2609"/>
      <c r="D25" s="433">
        <v>100</v>
      </c>
      <c r="E25" s="432"/>
      <c r="F25" s="433">
        <f>SUMIF(87:87,E26,88:88)-SUMIF(87:87,C26,88:88)+100</f>
        <v>100</v>
      </c>
      <c r="G25" s="2609"/>
      <c r="H25" s="433">
        <f>SUMIF(87:87,G26,88:88)-SUMIF(87:87,C26,88:88)+100</f>
        <v>100</v>
      </c>
      <c r="I25" s="432"/>
      <c r="J25" s="433">
        <f>SUMIF(87:87,I26,88:88)-SUMIF(87:87,C26,88:88)+100</f>
        <v>100</v>
      </c>
      <c r="K25" s="612"/>
      <c r="L25" s="1138"/>
      <c r="M25" s="1129"/>
      <c r="N25" s="1129"/>
      <c r="O25" s="1129"/>
      <c r="P25" s="3234"/>
      <c r="Q25" s="1807" t="str">
        <f>B25</f>
        <v>毗邻道路的类型与等级</v>
      </c>
      <c r="R25" s="771" t="s">
        <v>17</v>
      </c>
      <c r="S25" s="772">
        <f>F25</f>
        <v>100</v>
      </c>
      <c r="T25" s="771" t="s">
        <v>17</v>
      </c>
      <c r="U25" s="772">
        <f>H25</f>
        <v>100</v>
      </c>
      <c r="V25" s="771" t="s">
        <v>17</v>
      </c>
      <c r="W25" s="772">
        <f>J25</f>
        <v>100</v>
      </c>
      <c r="X25" s="1810"/>
      <c r="Y25" s="3216"/>
      <c r="Z25" s="1811" t="str">
        <f>Q25</f>
        <v>毗邻道路的类型与等级</v>
      </c>
      <c r="AA25" s="1808">
        <f t="shared" si="3"/>
        <v>1</v>
      </c>
      <c r="AB25" s="1808">
        <f t="shared" si="4"/>
        <v>1</v>
      </c>
      <c r="AC25" s="2666">
        <f t="shared" si="5"/>
        <v>1</v>
      </c>
    </row>
    <row r="26" spans="1:29" ht="15">
      <c r="A26" s="402"/>
      <c r="B26" s="630"/>
      <c r="C26" s="632"/>
      <c r="D26" s="433"/>
      <c r="E26" s="614"/>
      <c r="F26" s="433"/>
      <c r="G26" s="632"/>
      <c r="H26" s="433"/>
      <c r="I26" s="614"/>
      <c r="J26" s="433"/>
      <c r="K26" s="613"/>
      <c r="L26" s="1138"/>
      <c r="M26" s="1129"/>
      <c r="N26" s="1129"/>
      <c r="O26" s="1129"/>
      <c r="P26" s="3234"/>
      <c r="Q26" s="1807"/>
      <c r="R26" s="771"/>
      <c r="S26" s="772"/>
      <c r="T26" s="771"/>
      <c r="U26" s="772"/>
      <c r="V26" s="771"/>
      <c r="W26" s="772"/>
      <c r="X26" s="1810"/>
      <c r="Y26" s="3216"/>
      <c r="Z26" s="1811"/>
      <c r="AA26" s="1808">
        <v>1</v>
      </c>
      <c r="AB26" s="1808">
        <v>1</v>
      </c>
      <c r="AC26" s="2666">
        <v>1</v>
      </c>
    </row>
    <row r="27" spans="1:29" ht="15">
      <c r="A27" s="426"/>
      <c r="B27" s="630" t="s">
        <v>2662</v>
      </c>
      <c r="C27" s="632"/>
      <c r="D27" s="433">
        <v>100</v>
      </c>
      <c r="E27" s="614"/>
      <c r="F27" s="433">
        <f>SUMIF(89:89,E27,90:90)-SUMIF(89:89,C27,90:90)+100</f>
        <v>100</v>
      </c>
      <c r="G27" s="632"/>
      <c r="H27" s="433">
        <f>SUMIF(89:89,G27,90:90)-SUMIF(89:89,C27,90:90)+100</f>
        <v>100</v>
      </c>
      <c r="I27" s="614"/>
      <c r="J27" s="433">
        <f>SUMIF(89:89,I27,90:90)-SUMIF(89:89,C27,90:90)+100</f>
        <v>100</v>
      </c>
      <c r="K27" s="610"/>
      <c r="L27" s="1138"/>
      <c r="M27" s="1129"/>
      <c r="N27" s="1129"/>
      <c r="O27" s="1129"/>
      <c r="P27" s="3234"/>
      <c r="Q27" s="1807" t="str">
        <f t="shared" ref="Q27:Q47" si="11">B27</f>
        <v>楼层</v>
      </c>
      <c r="R27" s="771" t="s">
        <v>17</v>
      </c>
      <c r="S27" s="772">
        <f>F27</f>
        <v>100</v>
      </c>
      <c r="T27" s="771" t="s">
        <v>17</v>
      </c>
      <c r="U27" s="772">
        <f>H27</f>
        <v>100</v>
      </c>
      <c r="V27" s="771" t="s">
        <v>17</v>
      </c>
      <c r="W27" s="772">
        <f>J27</f>
        <v>100</v>
      </c>
      <c r="X27" s="1810"/>
      <c r="Y27" s="3216"/>
      <c r="Z27" s="1811" t="str">
        <f>Q27</f>
        <v>楼层</v>
      </c>
      <c r="AA27" s="1808">
        <f t="shared" si="3"/>
        <v>1</v>
      </c>
      <c r="AB27" s="1808">
        <f t="shared" si="4"/>
        <v>1</v>
      </c>
      <c r="AC27" s="2666">
        <f t="shared" si="5"/>
        <v>1</v>
      </c>
    </row>
    <row r="28" spans="1:29" s="115" customFormat="1" ht="15">
      <c r="A28" s="429"/>
      <c r="B28" s="629" t="s">
        <v>2695</v>
      </c>
      <c r="C28" s="2669"/>
      <c r="D28" s="460">
        <v>100</v>
      </c>
      <c r="E28" s="2657"/>
      <c r="F28" s="460">
        <f>SUMIF(91:91,E28,92:92)-SUMIF(91:91,C28,92:92)+100</f>
        <v>100</v>
      </c>
      <c r="G28" s="2669"/>
      <c r="H28" s="460">
        <f>SUMIF(91:91,G28,92:92)-SUMIF(91:91,C28,92:92)+100</f>
        <v>100</v>
      </c>
      <c r="I28" s="2657"/>
      <c r="J28" s="460">
        <f>SUMIF(91:91,I28,92:92)-SUMIF(91:91,C28,92:92)+100</f>
        <v>100</v>
      </c>
      <c r="K28" s="610"/>
      <c r="L28" s="1130"/>
      <c r="M28" s="1131"/>
      <c r="N28" s="1131"/>
      <c r="O28" s="1131"/>
      <c r="P28" s="3234"/>
      <c r="Q28" s="1792" t="str">
        <f t="shared" si="11"/>
        <v>朝向</v>
      </c>
      <c r="R28" s="767" t="s">
        <v>17</v>
      </c>
      <c r="S28" s="768">
        <f>F28</f>
        <v>100</v>
      </c>
      <c r="T28" s="767" t="s">
        <v>17</v>
      </c>
      <c r="U28" s="768">
        <f>H28</f>
        <v>100</v>
      </c>
      <c r="V28" s="767" t="s">
        <v>17</v>
      </c>
      <c r="W28" s="768">
        <f>J28</f>
        <v>100</v>
      </c>
      <c r="X28" s="769"/>
      <c r="Y28" s="3216"/>
      <c r="Z28" s="54" t="str">
        <f>Q28</f>
        <v>朝向</v>
      </c>
      <c r="AA28" s="1808">
        <f>D28/F28</f>
        <v>1</v>
      </c>
      <c r="AB28" s="1808">
        <f>D28/H28</f>
        <v>1</v>
      </c>
      <c r="AC28" s="2666">
        <f>D28/J28</f>
        <v>1</v>
      </c>
    </row>
    <row r="29" spans="1:29" ht="15">
      <c r="A29" s="426"/>
      <c r="B29" s="2670">
        <v>111</v>
      </c>
      <c r="C29" s="2609"/>
      <c r="D29" s="433">
        <v>100</v>
      </c>
      <c r="E29" s="430"/>
      <c r="F29" s="433">
        <f>SUMIF(93:93,E29,94:94)-SUMIF(93:93,C29,94:94)+100</f>
        <v>100</v>
      </c>
      <c r="G29" s="2664"/>
      <c r="H29" s="433">
        <f>SUMIF(93:93,G29,94:94)-SUMIF(93:93,C29,94:94)+100</f>
        <v>100</v>
      </c>
      <c r="I29" s="430"/>
      <c r="J29" s="433">
        <f>SUMIF(93:93,I29,94:94)-SUMIF(93:93,C29,94:94)+100</f>
        <v>100</v>
      </c>
      <c r="K29" s="611"/>
      <c r="L29" s="1138"/>
      <c r="M29" s="1129"/>
      <c r="N29" s="1129"/>
      <c r="O29" s="1129"/>
      <c r="P29" s="3234"/>
      <c r="Q29" s="1807">
        <f t="shared" si="11"/>
        <v>111</v>
      </c>
      <c r="R29" s="771" t="s">
        <v>17</v>
      </c>
      <c r="S29" s="772">
        <f t="shared" ref="S29:S47" si="12">F29</f>
        <v>100</v>
      </c>
      <c r="T29" s="771" t="s">
        <v>17</v>
      </c>
      <c r="U29" s="772">
        <f t="shared" ref="U29:U47" si="13">H29</f>
        <v>100</v>
      </c>
      <c r="V29" s="771" t="s">
        <v>17</v>
      </c>
      <c r="W29" s="772">
        <f t="shared" ref="W29:W47" si="14">J29</f>
        <v>100</v>
      </c>
      <c r="X29" s="1810"/>
      <c r="Y29" s="3216"/>
      <c r="Z29" s="1811">
        <f t="shared" ref="Z29:Z47" si="15">Q29</f>
        <v>111</v>
      </c>
      <c r="AA29" s="1808">
        <f t="shared" si="3"/>
        <v>1</v>
      </c>
      <c r="AB29" s="1808">
        <f t="shared" si="4"/>
        <v>1</v>
      </c>
      <c r="AC29" s="2666">
        <f t="shared" si="5"/>
        <v>1</v>
      </c>
    </row>
    <row r="30" spans="1:29" ht="15">
      <c r="A30" s="426"/>
      <c r="B30" s="2670">
        <v>111</v>
      </c>
      <c r="C30" s="2609"/>
      <c r="D30" s="433">
        <v>100</v>
      </c>
      <c r="E30" s="430"/>
      <c r="F30" s="433">
        <f>SUMIF(95:95,E30,96:96)-SUMIF(95:95,C30,96:96)+100</f>
        <v>100</v>
      </c>
      <c r="G30" s="2664"/>
      <c r="H30" s="433">
        <f>SUMIF(95:95,G30,96:96)-SUMIF(95:95,C30,96:96)+100</f>
        <v>100</v>
      </c>
      <c r="I30" s="430"/>
      <c r="J30" s="433">
        <f>SUMIF(95:95,I30,96:96)-SUMIF(95:95,C30,96:96)+100</f>
        <v>100</v>
      </c>
      <c r="K30" s="611"/>
      <c r="L30" s="1138"/>
      <c r="M30" s="1129"/>
      <c r="N30" s="1129"/>
      <c r="O30" s="1129"/>
      <c r="P30" s="3234"/>
      <c r="Q30" s="1807">
        <f t="shared" si="11"/>
        <v>111</v>
      </c>
      <c r="R30" s="771" t="s">
        <v>17</v>
      </c>
      <c r="S30" s="772">
        <f t="shared" si="12"/>
        <v>100</v>
      </c>
      <c r="T30" s="771" t="s">
        <v>17</v>
      </c>
      <c r="U30" s="772">
        <f t="shared" si="13"/>
        <v>100</v>
      </c>
      <c r="V30" s="771" t="s">
        <v>17</v>
      </c>
      <c r="W30" s="772">
        <f t="shared" si="14"/>
        <v>100</v>
      </c>
      <c r="X30" s="1810"/>
      <c r="Y30" s="3216"/>
      <c r="Z30" s="1811">
        <f t="shared" si="15"/>
        <v>111</v>
      </c>
      <c r="AA30" s="1808">
        <f t="shared" si="3"/>
        <v>1</v>
      </c>
      <c r="AB30" s="1808">
        <f t="shared" si="4"/>
        <v>1</v>
      </c>
      <c r="AC30" s="2666">
        <f t="shared" si="5"/>
        <v>1</v>
      </c>
    </row>
    <row r="31" spans="1:29" ht="15">
      <c r="A31" s="426"/>
      <c r="B31" s="2670">
        <v>111</v>
      </c>
      <c r="C31" s="2609"/>
      <c r="D31" s="433">
        <v>100</v>
      </c>
      <c r="E31" s="430"/>
      <c r="F31" s="433">
        <f>SUMIF(97:97,E31,98:98)-SUMIF(97:97,C31,98:98)+100</f>
        <v>100</v>
      </c>
      <c r="G31" s="2664"/>
      <c r="H31" s="433">
        <f>SUMIF(97:97,G31,98:98)-SUMIF(97:97,C31,98:98)+100</f>
        <v>100</v>
      </c>
      <c r="I31" s="430"/>
      <c r="J31" s="433">
        <f>SUMIF(97:97,I31,98:98)-SUMIF(97:97,C31,98:98)+100</f>
        <v>100</v>
      </c>
      <c r="K31" s="611"/>
      <c r="L31" s="1138"/>
      <c r="M31" s="1129"/>
      <c r="N31" s="1129"/>
      <c r="O31" s="1129"/>
      <c r="P31" s="3234"/>
      <c r="Q31" s="1807">
        <f t="shared" si="11"/>
        <v>111</v>
      </c>
      <c r="R31" s="771" t="s">
        <v>17</v>
      </c>
      <c r="S31" s="772">
        <f t="shared" si="12"/>
        <v>100</v>
      </c>
      <c r="T31" s="771" t="s">
        <v>17</v>
      </c>
      <c r="U31" s="772">
        <f t="shared" si="13"/>
        <v>100</v>
      </c>
      <c r="V31" s="771" t="s">
        <v>17</v>
      </c>
      <c r="W31" s="772">
        <f t="shared" si="14"/>
        <v>100</v>
      </c>
      <c r="X31" s="1810"/>
      <c r="Y31" s="3216"/>
      <c r="Z31" s="1811">
        <f t="shared" si="15"/>
        <v>111</v>
      </c>
      <c r="AA31" s="1808">
        <f t="shared" si="3"/>
        <v>1</v>
      </c>
      <c r="AB31" s="1808">
        <f t="shared" si="4"/>
        <v>1</v>
      </c>
      <c r="AC31" s="2666">
        <f t="shared" si="5"/>
        <v>1</v>
      </c>
    </row>
    <row r="32" spans="1:29" ht="15.75" thickBot="1">
      <c r="A32" s="434"/>
      <c r="B32" s="633">
        <v>111</v>
      </c>
      <c r="C32" s="2610"/>
      <c r="D32" s="436">
        <v>100</v>
      </c>
      <c r="E32" s="626"/>
      <c r="F32" s="436">
        <f>SUMIF(99:99,E32,100:100)-SUMIF(99:99,C32,100:100)+100</f>
        <v>100</v>
      </c>
      <c r="G32" s="2664"/>
      <c r="H32" s="436">
        <f>SUMIF(99:99,G32,100:100)-SUMIF(99:99,C32,100:100)+100</f>
        <v>100</v>
      </c>
      <c r="I32" s="430"/>
      <c r="J32" s="436">
        <f>SUMIF(99:99,I32,100:100)-SUMIF(99:99,C32,100:100)+100</f>
        <v>100</v>
      </c>
      <c r="K32" s="611"/>
      <c r="L32" s="1138"/>
      <c r="M32" s="1129"/>
      <c r="N32" s="1129"/>
      <c r="O32" s="1129"/>
      <c r="P32" s="3234"/>
      <c r="Q32" s="1807">
        <f t="shared" si="11"/>
        <v>111</v>
      </c>
      <c r="R32" s="771" t="s">
        <v>17</v>
      </c>
      <c r="S32" s="772">
        <f t="shared" si="12"/>
        <v>100</v>
      </c>
      <c r="T32" s="771" t="s">
        <v>17</v>
      </c>
      <c r="U32" s="772">
        <f t="shared" si="13"/>
        <v>100</v>
      </c>
      <c r="V32" s="771" t="s">
        <v>17</v>
      </c>
      <c r="W32" s="772">
        <f t="shared" si="14"/>
        <v>100</v>
      </c>
      <c r="X32" s="1810"/>
      <c r="Y32" s="3216"/>
      <c r="Z32" s="1811">
        <f t="shared" si="15"/>
        <v>111</v>
      </c>
      <c r="AA32" s="1808">
        <f t="shared" si="3"/>
        <v>1</v>
      </c>
      <c r="AB32" s="1808">
        <f t="shared" si="4"/>
        <v>1</v>
      </c>
      <c r="AC32" s="2666">
        <f t="shared" si="5"/>
        <v>1</v>
      </c>
    </row>
    <row r="33" spans="1:29" ht="15">
      <c r="A33" s="438" t="s">
        <v>2566</v>
      </c>
      <c r="B33" s="70" t="s">
        <v>2696</v>
      </c>
      <c r="C33" s="2671"/>
      <c r="D33" s="465">
        <v>100</v>
      </c>
      <c r="E33" s="2671"/>
      <c r="F33" s="459">
        <f>SUMIF(101:101,E33,102:102)-SUMIF(101:101,C33,102:102)+100</f>
        <v>100</v>
      </c>
      <c r="G33" s="2671"/>
      <c r="H33" s="433">
        <f>SUMIF(101:101,G33,102:102)-SUMIF(101:101,C33,102:102)+100</f>
        <v>100</v>
      </c>
      <c r="I33" s="2671"/>
      <c r="J33" s="465">
        <f>SUMIF(101:101,I33,102:102)-SUMIF(101:101,C33,102:102)+100</f>
        <v>100</v>
      </c>
      <c r="K33" s="610"/>
      <c r="L33" s="1138"/>
      <c r="M33" s="1129"/>
      <c r="N33" s="1129"/>
      <c r="O33" s="1129"/>
      <c r="P33" s="3235" t="s">
        <v>2568</v>
      </c>
      <c r="Q33" s="1807" t="str">
        <f t="shared" si="11"/>
        <v>建筑类型</v>
      </c>
      <c r="R33" s="771" t="s">
        <v>17</v>
      </c>
      <c r="S33" s="772">
        <f t="shared" si="12"/>
        <v>100</v>
      </c>
      <c r="T33" s="771" t="s">
        <v>17</v>
      </c>
      <c r="U33" s="772">
        <f t="shared" si="13"/>
        <v>100</v>
      </c>
      <c r="V33" s="771" t="s">
        <v>17</v>
      </c>
      <c r="W33" s="772">
        <f t="shared" si="14"/>
        <v>100</v>
      </c>
      <c r="X33" s="1810"/>
      <c r="Y33" s="3218" t="s">
        <v>2568</v>
      </c>
      <c r="Z33" s="1811" t="str">
        <f t="shared" si="15"/>
        <v>建筑类型</v>
      </c>
      <c r="AA33" s="1808">
        <f t="shared" si="3"/>
        <v>1</v>
      </c>
      <c r="AB33" s="1808">
        <f t="shared" si="4"/>
        <v>1</v>
      </c>
      <c r="AC33" s="2666">
        <f t="shared" si="5"/>
        <v>1</v>
      </c>
    </row>
    <row r="34" spans="1:29" s="469" customFormat="1" ht="15">
      <c r="A34" s="466"/>
      <c r="B34" s="420" t="s">
        <v>2569</v>
      </c>
      <c r="C34" s="467"/>
      <c r="D34" s="133">
        <v>100</v>
      </c>
      <c r="E34" s="428"/>
      <c r="F34" s="423" t="e">
        <f>LOOKUP(E34,104:104,105:105)-LOOKUP(C34,104:104,105:105)+100</f>
        <v>#N/A</v>
      </c>
      <c r="G34" s="427"/>
      <c r="H34" s="133" t="e">
        <f>LOOKUP(G34,104:104,105:105)-LOOKUP(C34,104:104,105:105)+100</f>
        <v>#N/A</v>
      </c>
      <c r="I34" s="427"/>
      <c r="J34" s="133" t="e">
        <f>LOOKUP(I34,104:104,105:105)-LOOKUP(C34,104:104,105:105)+100</f>
        <v>#N/A</v>
      </c>
      <c r="K34" s="611"/>
      <c r="L34" s="1136"/>
      <c r="M34" s="1139"/>
      <c r="N34" s="1139"/>
      <c r="O34" s="1139"/>
      <c r="P34" s="3236"/>
      <c r="Q34" s="773" t="str">
        <f t="shared" si="11"/>
        <v>项目建筑规模</v>
      </c>
      <c r="R34" s="774" t="s">
        <v>17</v>
      </c>
      <c r="S34" s="775" t="e">
        <f t="shared" si="12"/>
        <v>#N/A</v>
      </c>
      <c r="T34" s="774" t="s">
        <v>17</v>
      </c>
      <c r="U34" s="775" t="e">
        <f t="shared" si="13"/>
        <v>#N/A</v>
      </c>
      <c r="V34" s="774" t="s">
        <v>17</v>
      </c>
      <c r="W34" s="775" t="e">
        <f t="shared" si="14"/>
        <v>#N/A</v>
      </c>
      <c r="X34" s="776"/>
      <c r="Y34" s="3218"/>
      <c r="Z34" s="777" t="str">
        <f t="shared" si="15"/>
        <v>项目建筑规模</v>
      </c>
      <c r="AA34" s="1808" t="e">
        <f t="shared" si="3"/>
        <v>#N/A</v>
      </c>
      <c r="AB34" s="1808" t="e">
        <f t="shared" si="4"/>
        <v>#N/A</v>
      </c>
      <c r="AC34" s="2666" t="e">
        <f t="shared" si="5"/>
        <v>#N/A</v>
      </c>
    </row>
    <row r="35" spans="1:29" ht="15">
      <c r="A35" s="470"/>
      <c r="B35" s="420" t="s">
        <v>2570</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8"/>
      <c r="M35" s="1129"/>
      <c r="N35" s="1129"/>
      <c r="O35" s="1129"/>
      <c r="P35" s="3236"/>
      <c r="Q35" s="1807" t="str">
        <f t="shared" si="11"/>
        <v>建筑结构</v>
      </c>
      <c r="R35" s="771" t="s">
        <v>17</v>
      </c>
      <c r="S35" s="772">
        <f t="shared" si="12"/>
        <v>100</v>
      </c>
      <c r="T35" s="771" t="s">
        <v>17</v>
      </c>
      <c r="U35" s="772">
        <f t="shared" si="13"/>
        <v>100</v>
      </c>
      <c r="V35" s="771" t="s">
        <v>17</v>
      </c>
      <c r="W35" s="772">
        <f t="shared" si="14"/>
        <v>100</v>
      </c>
      <c r="X35" s="1810"/>
      <c r="Y35" s="3218"/>
      <c r="Z35" s="1811" t="str">
        <f t="shared" si="15"/>
        <v>建筑结构</v>
      </c>
      <c r="AA35" s="1808">
        <f t="shared" si="3"/>
        <v>1</v>
      </c>
      <c r="AB35" s="1808">
        <f t="shared" si="4"/>
        <v>1</v>
      </c>
      <c r="AC35" s="2666">
        <f t="shared" si="5"/>
        <v>1</v>
      </c>
    </row>
    <row r="36" spans="1:29" ht="15">
      <c r="A36" s="470"/>
      <c r="B36" s="420" t="s">
        <v>2664</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8"/>
      <c r="M36" s="1129"/>
      <c r="N36" s="1129"/>
      <c r="O36" s="1129"/>
      <c r="P36" s="3236"/>
      <c r="Q36" s="1807" t="str">
        <f t="shared" si="11"/>
        <v>公共部分装修</v>
      </c>
      <c r="R36" s="771" t="s">
        <v>17</v>
      </c>
      <c r="S36" s="772">
        <f t="shared" si="12"/>
        <v>100</v>
      </c>
      <c r="T36" s="771" t="s">
        <v>17</v>
      </c>
      <c r="U36" s="772">
        <f t="shared" si="13"/>
        <v>100</v>
      </c>
      <c r="V36" s="771" t="s">
        <v>17</v>
      </c>
      <c r="W36" s="772">
        <f t="shared" si="14"/>
        <v>100</v>
      </c>
      <c r="X36" s="1810"/>
      <c r="Y36" s="3218"/>
      <c r="Z36" s="1811" t="str">
        <f t="shared" si="15"/>
        <v>公共部分装修</v>
      </c>
      <c r="AA36" s="1808">
        <f t="shared" si="3"/>
        <v>1</v>
      </c>
      <c r="AB36" s="1808">
        <f t="shared" si="4"/>
        <v>1</v>
      </c>
      <c r="AC36" s="2666">
        <f t="shared" si="5"/>
        <v>1</v>
      </c>
    </row>
    <row r="37" spans="1:29" ht="15">
      <c r="A37" s="470"/>
      <c r="B37" s="420" t="s">
        <v>2665</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8"/>
      <c r="M37" s="1129"/>
      <c r="N37" s="1129"/>
      <c r="O37" s="1129"/>
      <c r="P37" s="3236"/>
      <c r="Q37" s="1807" t="str">
        <f t="shared" si="11"/>
        <v>成新度</v>
      </c>
      <c r="R37" s="771" t="s">
        <v>17</v>
      </c>
      <c r="S37" s="772" t="e">
        <f t="shared" si="12"/>
        <v>#N/A</v>
      </c>
      <c r="T37" s="771" t="s">
        <v>17</v>
      </c>
      <c r="U37" s="772" t="e">
        <f t="shared" si="13"/>
        <v>#N/A</v>
      </c>
      <c r="V37" s="771" t="s">
        <v>17</v>
      </c>
      <c r="W37" s="772" t="e">
        <f t="shared" si="14"/>
        <v>#N/A</v>
      </c>
      <c r="X37" s="1810"/>
      <c r="Y37" s="3218"/>
      <c r="Z37" s="1811" t="str">
        <f t="shared" si="15"/>
        <v>成新度</v>
      </c>
      <c r="AA37" s="1808" t="e">
        <f t="shared" si="3"/>
        <v>#N/A</v>
      </c>
      <c r="AB37" s="1808" t="e">
        <f t="shared" si="4"/>
        <v>#N/A</v>
      </c>
      <c r="AC37" s="2666" t="e">
        <f t="shared" si="5"/>
        <v>#N/A</v>
      </c>
    </row>
    <row r="38" spans="1:29" s="115" customFormat="1" ht="15">
      <c r="A38" s="471"/>
      <c r="B38" s="420" t="s">
        <v>2697</v>
      </c>
      <c r="C38" s="458"/>
      <c r="D38" s="133">
        <v>100</v>
      </c>
      <c r="E38" s="458"/>
      <c r="F38" s="459">
        <f>SUMIF(113:113,E38,114:114)-SUMIF(113:113,C38,114:114)+100</f>
        <v>100</v>
      </c>
      <c r="G38" s="458"/>
      <c r="H38" s="433">
        <f>SUMIF(113:113,G38,114:114)-SUMIF(113:113,C38,114:114)+100</f>
        <v>100</v>
      </c>
      <c r="I38" s="458"/>
      <c r="J38" s="433">
        <f>SUMIF(113:113,I38,114:114)-SUMIF(113:113,C38,114:114)+100</f>
        <v>100</v>
      </c>
      <c r="K38" s="610"/>
      <c r="L38" s="1130"/>
      <c r="M38" s="1131"/>
      <c r="N38" s="1131"/>
      <c r="O38" s="1131"/>
      <c r="P38" s="3236"/>
      <c r="Q38" s="1792" t="str">
        <f t="shared" si="11"/>
        <v>写字楼等级</v>
      </c>
      <c r="R38" s="767" t="s">
        <v>17</v>
      </c>
      <c r="S38" s="768">
        <f t="shared" si="12"/>
        <v>100</v>
      </c>
      <c r="T38" s="767" t="s">
        <v>17</v>
      </c>
      <c r="U38" s="768">
        <f t="shared" si="13"/>
        <v>100</v>
      </c>
      <c r="V38" s="767" t="s">
        <v>17</v>
      </c>
      <c r="W38" s="768">
        <f t="shared" si="14"/>
        <v>100</v>
      </c>
      <c r="X38" s="769"/>
      <c r="Y38" s="3218"/>
      <c r="Z38" s="54" t="str">
        <f t="shared" si="15"/>
        <v>写字楼等级</v>
      </c>
      <c r="AA38" s="770">
        <f t="shared" si="3"/>
        <v>1</v>
      </c>
      <c r="AB38" s="770">
        <f t="shared" si="4"/>
        <v>1</v>
      </c>
      <c r="AC38" s="2663">
        <f t="shared" si="5"/>
        <v>1</v>
      </c>
    </row>
    <row r="39" spans="1:29" ht="15">
      <c r="A39" s="470"/>
      <c r="B39" s="420" t="s">
        <v>2698</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8"/>
      <c r="M39" s="1129"/>
      <c r="N39" s="1129"/>
      <c r="O39" s="1129"/>
      <c r="P39" s="3236" t="s">
        <v>2568</v>
      </c>
      <c r="Q39" s="1807" t="str">
        <f t="shared" si="11"/>
        <v>物业管理</v>
      </c>
      <c r="R39" s="771" t="s">
        <v>17</v>
      </c>
      <c r="S39" s="772">
        <f t="shared" si="12"/>
        <v>100</v>
      </c>
      <c r="T39" s="771" t="s">
        <v>17</v>
      </c>
      <c r="U39" s="772">
        <f t="shared" si="13"/>
        <v>100</v>
      </c>
      <c r="V39" s="771" t="s">
        <v>17</v>
      </c>
      <c r="W39" s="772">
        <f t="shared" si="14"/>
        <v>100</v>
      </c>
      <c r="X39" s="1810"/>
      <c r="Y39" s="3218" t="s">
        <v>2568</v>
      </c>
      <c r="Z39" s="1811" t="str">
        <f t="shared" si="15"/>
        <v>物业管理</v>
      </c>
      <c r="AA39" s="1808">
        <f t="shared" si="3"/>
        <v>1</v>
      </c>
      <c r="AB39" s="1808">
        <f t="shared" si="4"/>
        <v>1</v>
      </c>
      <c r="AC39" s="2666">
        <f t="shared" si="5"/>
        <v>1</v>
      </c>
    </row>
    <row r="40" spans="1:29" ht="15">
      <c r="A40" s="470"/>
      <c r="B40" s="420" t="s">
        <v>2666</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8"/>
      <c r="M40" s="1129"/>
      <c r="N40" s="1129"/>
      <c r="O40" s="1129"/>
      <c r="P40" s="3236"/>
      <c r="Q40" s="1807" t="str">
        <f t="shared" si="11"/>
        <v>市政基础设施</v>
      </c>
      <c r="R40" s="771" t="s">
        <v>17</v>
      </c>
      <c r="S40" s="772">
        <f t="shared" si="12"/>
        <v>100</v>
      </c>
      <c r="T40" s="771" t="s">
        <v>17</v>
      </c>
      <c r="U40" s="772">
        <f t="shared" si="13"/>
        <v>100</v>
      </c>
      <c r="V40" s="771" t="s">
        <v>17</v>
      </c>
      <c r="W40" s="772">
        <f t="shared" si="14"/>
        <v>100</v>
      </c>
      <c r="X40" s="1810"/>
      <c r="Y40" s="3218"/>
      <c r="Z40" s="1811" t="str">
        <f t="shared" si="15"/>
        <v>市政基础设施</v>
      </c>
      <c r="AA40" s="1808">
        <f t="shared" si="3"/>
        <v>1</v>
      </c>
      <c r="AB40" s="1808">
        <f t="shared" si="4"/>
        <v>1</v>
      </c>
      <c r="AC40" s="2666">
        <f t="shared" si="5"/>
        <v>1</v>
      </c>
    </row>
    <row r="41" spans="1:29" ht="15">
      <c r="A41" s="470"/>
      <c r="B41" s="420" t="s">
        <v>2668</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8"/>
      <c r="M41" s="1129"/>
      <c r="N41" s="1129"/>
      <c r="O41" s="1129"/>
      <c r="P41" s="3236"/>
      <c r="Q41" s="1807" t="str">
        <f t="shared" si="11"/>
        <v>层高</v>
      </c>
      <c r="R41" s="771" t="s">
        <v>17</v>
      </c>
      <c r="S41" s="772">
        <f t="shared" si="12"/>
        <v>100</v>
      </c>
      <c r="T41" s="771" t="s">
        <v>17</v>
      </c>
      <c r="U41" s="772">
        <f t="shared" si="13"/>
        <v>100</v>
      </c>
      <c r="V41" s="771" t="s">
        <v>17</v>
      </c>
      <c r="W41" s="772">
        <f t="shared" si="14"/>
        <v>100</v>
      </c>
      <c r="X41" s="1810"/>
      <c r="Y41" s="3218"/>
      <c r="Z41" s="1811" t="str">
        <f t="shared" si="15"/>
        <v>层高</v>
      </c>
      <c r="AA41" s="1808">
        <f t="shared" si="3"/>
        <v>1</v>
      </c>
      <c r="AB41" s="1808">
        <f t="shared" si="4"/>
        <v>1</v>
      </c>
      <c r="AC41" s="2666">
        <f t="shared" si="5"/>
        <v>1</v>
      </c>
    </row>
    <row r="42" spans="1:29" s="469" customFormat="1" ht="15">
      <c r="A42" s="466"/>
      <c r="B42" s="1809" t="s">
        <v>2699</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6"/>
      <c r="M42" s="1139"/>
      <c r="N42" s="1139"/>
      <c r="O42" s="1139"/>
      <c r="P42" s="3236"/>
      <c r="Q42" s="773" t="str">
        <f t="shared" si="11"/>
        <v>单套建筑面积</v>
      </c>
      <c r="R42" s="774" t="s">
        <v>17</v>
      </c>
      <c r="S42" s="775">
        <f t="shared" si="12"/>
        <v>100</v>
      </c>
      <c r="T42" s="774" t="s">
        <v>17</v>
      </c>
      <c r="U42" s="775">
        <f t="shared" si="13"/>
        <v>100</v>
      </c>
      <c r="V42" s="774" t="s">
        <v>17</v>
      </c>
      <c r="W42" s="775">
        <f t="shared" si="14"/>
        <v>100</v>
      </c>
      <c r="X42" s="776"/>
      <c r="Y42" s="3218"/>
      <c r="Z42" s="777" t="str">
        <f t="shared" si="15"/>
        <v>单套建筑面积</v>
      </c>
      <c r="AA42" s="1808">
        <f t="shared" si="3"/>
        <v>1</v>
      </c>
      <c r="AB42" s="1808">
        <f t="shared" si="4"/>
        <v>1</v>
      </c>
      <c r="AC42" s="2666">
        <f t="shared" si="5"/>
        <v>1</v>
      </c>
    </row>
    <row r="43" spans="1:29" ht="15">
      <c r="A43" s="470"/>
      <c r="B43" s="420" t="s">
        <v>2671</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8"/>
      <c r="M43" s="1129"/>
      <c r="N43" s="1129"/>
      <c r="O43" s="1129"/>
      <c r="P43" s="3236"/>
      <c r="Q43" s="1807" t="str">
        <f t="shared" si="11"/>
        <v>内部装修</v>
      </c>
      <c r="R43" s="771" t="s">
        <v>17</v>
      </c>
      <c r="S43" s="772">
        <f t="shared" si="12"/>
        <v>100</v>
      </c>
      <c r="T43" s="771" t="s">
        <v>17</v>
      </c>
      <c r="U43" s="772">
        <f t="shared" si="13"/>
        <v>100</v>
      </c>
      <c r="V43" s="771" t="s">
        <v>17</v>
      </c>
      <c r="W43" s="772">
        <f t="shared" si="14"/>
        <v>100</v>
      </c>
      <c r="X43" s="1810"/>
      <c r="Y43" s="3218"/>
      <c r="Z43" s="1811" t="str">
        <f t="shared" si="15"/>
        <v>内部装修</v>
      </c>
      <c r="AA43" s="1808">
        <f t="shared" si="3"/>
        <v>1</v>
      </c>
      <c r="AB43" s="1808">
        <f t="shared" si="4"/>
        <v>1</v>
      </c>
      <c r="AC43" s="2666">
        <f t="shared" si="5"/>
        <v>1</v>
      </c>
    </row>
    <row r="44" spans="1:29" ht="15">
      <c r="A44" s="470"/>
      <c r="B44" s="420" t="s">
        <v>2579</v>
      </c>
      <c r="C44" s="458"/>
      <c r="D44" s="433">
        <v>100</v>
      </c>
      <c r="E44" s="2607"/>
      <c r="F44" s="459">
        <f>SUMIF(125:125,E44,126:126)-SUMIF(125:125,C44,126:126)+100</f>
        <v>100</v>
      </c>
      <c r="G44" s="2607"/>
      <c r="H44" s="433">
        <f>SUMIF(125:125,G44,126:126)-SUMIF(125:125,C44,126:126)+100</f>
        <v>100</v>
      </c>
      <c r="I44" s="2607"/>
      <c r="J44" s="433">
        <f>SUMIF(125:125,I44,126:126)-SUMIF(125:125,C44,126:126)+100</f>
        <v>100</v>
      </c>
      <c r="K44" s="610"/>
      <c r="L44" s="1138"/>
      <c r="M44" s="1129"/>
      <c r="N44" s="1129"/>
      <c r="O44" s="1129"/>
      <c r="P44" s="3236"/>
      <c r="Q44" s="1807" t="str">
        <f t="shared" si="11"/>
        <v>内部装修维护情况</v>
      </c>
      <c r="R44" s="771" t="s">
        <v>17</v>
      </c>
      <c r="S44" s="772">
        <f t="shared" si="12"/>
        <v>100</v>
      </c>
      <c r="T44" s="771" t="s">
        <v>17</v>
      </c>
      <c r="U44" s="772">
        <f t="shared" si="13"/>
        <v>100</v>
      </c>
      <c r="V44" s="771" t="s">
        <v>17</v>
      </c>
      <c r="W44" s="772">
        <f t="shared" si="14"/>
        <v>100</v>
      </c>
      <c r="X44" s="1810"/>
      <c r="Y44" s="3218"/>
      <c r="Z44" s="1811" t="str">
        <f t="shared" si="15"/>
        <v>内部装修维护情况</v>
      </c>
      <c r="AA44" s="1808">
        <f t="shared" si="3"/>
        <v>1</v>
      </c>
      <c r="AB44" s="1808">
        <f t="shared" si="4"/>
        <v>1</v>
      </c>
      <c r="AC44" s="2666">
        <f t="shared" si="5"/>
        <v>1</v>
      </c>
    </row>
    <row r="45" spans="1:29" s="115" customFormat="1" ht="15">
      <c r="A45" s="471"/>
      <c r="B45" s="1384">
        <v>111</v>
      </c>
      <c r="C45" s="467"/>
      <c r="D45" s="133">
        <v>100</v>
      </c>
      <c r="E45" s="430"/>
      <c r="F45" s="423">
        <f>SUMIF(127:127,E45,128:128)-SUMIF(127:127,C45,128:128)+100</f>
        <v>100</v>
      </c>
      <c r="G45" s="430"/>
      <c r="H45" s="133">
        <f>SUMIF(127:127,G45,128:128)-SUMIF(127:127,C45,128:128)+100</f>
        <v>100</v>
      </c>
      <c r="I45" s="430"/>
      <c r="J45" s="133">
        <f>SUMIF(127:127,I45,128:128)-SUMIF(127:127,C45,128:128)+100</f>
        <v>100</v>
      </c>
      <c r="K45" s="611"/>
      <c r="L45" s="1130"/>
      <c r="M45" s="1131"/>
      <c r="N45" s="1131"/>
      <c r="O45" s="1131"/>
      <c r="P45" s="3236"/>
      <c r="Q45" s="1792">
        <f t="shared" si="11"/>
        <v>111</v>
      </c>
      <c r="R45" s="767" t="s">
        <v>17</v>
      </c>
      <c r="S45" s="768">
        <f t="shared" si="12"/>
        <v>100</v>
      </c>
      <c r="T45" s="767" t="s">
        <v>17</v>
      </c>
      <c r="U45" s="768">
        <f t="shared" si="13"/>
        <v>100</v>
      </c>
      <c r="V45" s="767" t="s">
        <v>17</v>
      </c>
      <c r="W45" s="768">
        <f t="shared" si="14"/>
        <v>100</v>
      </c>
      <c r="X45" s="769"/>
      <c r="Y45" s="3218"/>
      <c r="Z45" s="54">
        <f t="shared" si="15"/>
        <v>111</v>
      </c>
      <c r="AA45" s="770">
        <f t="shared" si="3"/>
        <v>1</v>
      </c>
      <c r="AB45" s="770">
        <f t="shared" si="4"/>
        <v>1</v>
      </c>
      <c r="AC45" s="2663">
        <f t="shared" si="5"/>
        <v>1</v>
      </c>
    </row>
    <row r="46" spans="1:29" ht="15">
      <c r="A46" s="470"/>
      <c r="B46" s="1384">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8"/>
      <c r="M46" s="1129"/>
      <c r="N46" s="1129"/>
      <c r="O46" s="1129"/>
      <c r="P46" s="3236"/>
      <c r="Q46" s="1807">
        <f t="shared" si="11"/>
        <v>111</v>
      </c>
      <c r="R46" s="771" t="s">
        <v>17</v>
      </c>
      <c r="S46" s="772">
        <f t="shared" si="12"/>
        <v>100</v>
      </c>
      <c r="T46" s="771" t="s">
        <v>17</v>
      </c>
      <c r="U46" s="772">
        <f t="shared" si="13"/>
        <v>100</v>
      </c>
      <c r="V46" s="771" t="s">
        <v>17</v>
      </c>
      <c r="W46" s="772">
        <f t="shared" si="14"/>
        <v>100</v>
      </c>
      <c r="X46" s="1810"/>
      <c r="Y46" s="3218"/>
      <c r="Z46" s="1811">
        <f t="shared" si="15"/>
        <v>111</v>
      </c>
      <c r="AA46" s="1808">
        <f t="shared" si="3"/>
        <v>1</v>
      </c>
      <c r="AB46" s="1808">
        <f t="shared" si="4"/>
        <v>1</v>
      </c>
      <c r="AC46" s="2666">
        <f t="shared" si="5"/>
        <v>1</v>
      </c>
    </row>
    <row r="47" spans="1:29" ht="15.75" thickBot="1">
      <c r="A47" s="476"/>
      <c r="B47" s="2596">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8"/>
      <c r="M47" s="1129"/>
      <c r="N47" s="1129"/>
      <c r="O47" s="1129"/>
      <c r="P47" s="3237"/>
      <c r="Q47" s="1807">
        <f t="shared" si="11"/>
        <v>111</v>
      </c>
      <c r="R47" s="771" t="s">
        <v>17</v>
      </c>
      <c r="S47" s="772">
        <f t="shared" si="12"/>
        <v>100</v>
      </c>
      <c r="T47" s="771" t="s">
        <v>17</v>
      </c>
      <c r="U47" s="772">
        <f t="shared" si="13"/>
        <v>100</v>
      </c>
      <c r="V47" s="771" t="s">
        <v>17</v>
      </c>
      <c r="W47" s="772">
        <f t="shared" si="14"/>
        <v>100</v>
      </c>
      <c r="X47" s="1810"/>
      <c r="Y47" s="3238"/>
      <c r="Z47" s="1811">
        <f t="shared" si="15"/>
        <v>111</v>
      </c>
      <c r="AA47" s="1808">
        <f t="shared" si="3"/>
        <v>1</v>
      </c>
      <c r="AB47" s="1808">
        <f t="shared" si="4"/>
        <v>1</v>
      </c>
      <c r="AC47" s="2666">
        <f t="shared" si="5"/>
        <v>1</v>
      </c>
    </row>
    <row r="48" spans="1:29" ht="15">
      <c r="A48" s="477" t="s">
        <v>2580</v>
      </c>
      <c r="B48" s="478"/>
      <c r="C48" s="1404" t="s">
        <v>1</v>
      </c>
      <c r="D48" s="1405"/>
      <c r="E48" s="1406"/>
      <c r="F48" s="1407"/>
      <c r="G48" s="1408"/>
      <c r="H48" s="1409"/>
      <c r="I48" s="1406"/>
      <c r="J48" s="483"/>
      <c r="K48" s="780"/>
      <c r="L48" s="1141"/>
      <c r="M48" s="1129"/>
      <c r="N48" s="1129"/>
      <c r="O48" s="1129"/>
      <c r="P48" s="3224" t="str">
        <f>A48</f>
        <v>成交单价（元/平方米）</v>
      </c>
      <c r="Q48" s="3200"/>
      <c r="R48" s="3231">
        <f>E48</f>
        <v>0</v>
      </c>
      <c r="S48" s="3231"/>
      <c r="T48" s="3231">
        <f>G48</f>
        <v>0</v>
      </c>
      <c r="U48" s="3231"/>
      <c r="V48" s="3231">
        <f>I48</f>
        <v>0</v>
      </c>
      <c r="W48" s="3231"/>
      <c r="X48" s="444"/>
      <c r="Y48" s="778"/>
      <c r="Z48" s="444"/>
      <c r="AA48" s="444"/>
      <c r="AB48" s="444"/>
      <c r="AC48" s="628"/>
    </row>
    <row r="49" spans="1:29" ht="15.75" thickBot="1">
      <c r="A49" s="484" t="s">
        <v>2672</v>
      </c>
      <c r="B49" s="485"/>
      <c r="C49" s="1410" t="e">
        <f>R50</f>
        <v>#DIV/0!</v>
      </c>
      <c r="D49" s="1411"/>
      <c r="E49" s="1412" t="e">
        <f>R49</f>
        <v>#DIV/0!</v>
      </c>
      <c r="F49" s="1412"/>
      <c r="G49" s="1410" t="e">
        <f>T49</f>
        <v>#DIV/0!</v>
      </c>
      <c r="H49" s="1411"/>
      <c r="I49" s="1412" t="e">
        <f>V49</f>
        <v>#DIV/0!</v>
      </c>
      <c r="J49" s="487"/>
      <c r="K49" s="781"/>
      <c r="L49" s="1141"/>
      <c r="M49" s="1129"/>
      <c r="N49" s="1129"/>
      <c r="O49" s="1129"/>
      <c r="P49" s="3224" t="str">
        <f>A49</f>
        <v>比较价值（元/平方米）</v>
      </c>
      <c r="Q49" s="3200"/>
      <c r="R49" s="3231" t="e">
        <f>IF(F1="售价",ROUND(PRODUCT(R48,AA7:AA47),0),ROUND(PRODUCT(R48,AA7:AA47),1))</f>
        <v>#DIV/0!</v>
      </c>
      <c r="S49" s="3231"/>
      <c r="T49" s="3231" t="e">
        <f>IF(F1="售价",ROUND(PRODUCT(T48,AB7:AB47),0),ROUND(PRODUCT(T48,AB7:AB47),1))</f>
        <v>#DIV/0!</v>
      </c>
      <c r="U49" s="3231"/>
      <c r="V49" s="3231" t="e">
        <f>IF(F1="售价",ROUND(PRODUCT(V48,AC7:AC47),0),ROUND(PRODUCT(V48,AC7:AC47),1))</f>
        <v>#DIV/0!</v>
      </c>
      <c r="W49" s="3231"/>
      <c r="X49" s="444"/>
      <c r="Y49" s="444"/>
      <c r="Z49" s="444"/>
      <c r="AA49" s="444"/>
      <c r="AB49" s="444"/>
      <c r="AC49" s="628"/>
    </row>
    <row r="50" spans="1:29" ht="15.75" thickBot="1">
      <c r="A50" s="490" t="s">
        <v>2673</v>
      </c>
      <c r="B50" s="491"/>
      <c r="C50" s="1414" t="e">
        <f>R50</f>
        <v>#DIV/0!</v>
      </c>
      <c r="D50" s="1414"/>
      <c r="E50" s="1414"/>
      <c r="F50" s="1414"/>
      <c r="G50" s="1414"/>
      <c r="H50" s="1414"/>
      <c r="I50" s="1414"/>
      <c r="J50" s="492"/>
      <c r="K50" s="782"/>
      <c r="L50" s="1141"/>
      <c r="M50" s="1129"/>
      <c r="N50" s="1129"/>
      <c r="O50" s="1129"/>
      <c r="P50" s="3275" t="str">
        <f>A50</f>
        <v>估价对象XX用房的比较价值（楼面单价，元/平方米）</v>
      </c>
      <c r="Q50" s="3276"/>
      <c r="R50" s="3277" t="e">
        <f>IF(F1="售价",ROUND(AVERAGE(R49:V49),0),ROUND(AVERAGE(R49:V49),1))</f>
        <v>#DIV/0!</v>
      </c>
      <c r="S50" s="3277"/>
      <c r="T50" s="3277"/>
      <c r="U50" s="3277"/>
      <c r="V50" s="3277"/>
      <c r="W50" s="3277"/>
      <c r="X50" s="2646"/>
      <c r="Y50" s="2646"/>
      <c r="Z50" s="2646"/>
      <c r="AA50" s="2646"/>
      <c r="AB50" s="2646"/>
      <c r="AC50" s="2647"/>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5" t="s">
        <v>2674</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3"/>
      <c r="L53" s="1104"/>
      <c r="M53" s="1142"/>
      <c r="N53" s="1142"/>
      <c r="O53" s="1142"/>
    </row>
    <row r="54" spans="1:29" ht="13.5" customHeight="1">
      <c r="A54" s="1142"/>
      <c r="B54" s="1142"/>
      <c r="C54" s="495" t="s">
        <v>2675</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3"/>
      <c r="L54" s="1104"/>
      <c r="M54" s="1142"/>
      <c r="N54" s="1142"/>
      <c r="O54" s="1142"/>
    </row>
    <row r="55" spans="1:29" s="500" customFormat="1" ht="13.5" customHeight="1">
      <c r="A55" s="1143"/>
      <c r="B55" s="1143"/>
      <c r="C55" s="495" t="s">
        <v>2676</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6"/>
      <c r="L55" s="1147"/>
      <c r="M55" s="1143"/>
      <c r="N55" s="1143"/>
      <c r="O55" s="1143"/>
      <c r="P55" s="2672"/>
    </row>
    <row r="56" spans="1:29" s="500" customFormat="1">
      <c r="A56" s="1143"/>
      <c r="B56" s="1144"/>
      <c r="C56" s="1148"/>
      <c r="D56" s="1143"/>
      <c r="E56" s="1143"/>
      <c r="F56" s="1143"/>
      <c r="G56" s="1143"/>
      <c r="H56" s="1143"/>
      <c r="I56" s="1143"/>
      <c r="J56" s="1143"/>
      <c r="K56" s="1146"/>
      <c r="L56" s="1147"/>
      <c r="M56" s="1143"/>
      <c r="N56" s="1143"/>
      <c r="O56" s="1143"/>
      <c r="P56" s="2672"/>
    </row>
    <row r="57" spans="1:29">
      <c r="A57" s="1142"/>
      <c r="B57" s="1144"/>
      <c r="C57" s="1148"/>
      <c r="D57" s="1142"/>
      <c r="E57" s="1142"/>
      <c r="F57" s="1142"/>
      <c r="G57" s="1142"/>
      <c r="H57" s="1142"/>
      <c r="I57" s="1142"/>
      <c r="J57" s="1142"/>
      <c r="K57" s="1103"/>
      <c r="L57" s="1104"/>
      <c r="M57" s="1142"/>
      <c r="N57" s="1142"/>
      <c r="O57" s="1142"/>
    </row>
    <row r="58" spans="1:29" ht="21.75" thickBot="1">
      <c r="A58" s="760" t="s">
        <v>2677</v>
      </c>
      <c r="B58" s="756"/>
      <c r="C58" s="761"/>
      <c r="D58" s="761"/>
      <c r="E58" s="761"/>
      <c r="F58" s="762"/>
      <c r="G58" s="762"/>
      <c r="H58" s="761"/>
      <c r="I58" s="761"/>
      <c r="J58" s="761"/>
      <c r="K58" s="763"/>
      <c r="L58" s="1159"/>
      <c r="M58" s="1157"/>
      <c r="N58" s="1157"/>
      <c r="O58" s="1157"/>
      <c r="P58" s="2673"/>
      <c r="Q58" s="502"/>
    </row>
    <row r="59" spans="1:29" s="506" customFormat="1" ht="15">
      <c r="A59" s="503" t="s">
        <v>2551</v>
      </c>
      <c r="B59" s="504"/>
      <c r="C59" s="1572" t="str">
        <f>YEAR(C7)&amp;"-"&amp;MONTH(C7)</f>
        <v>2017-11</v>
      </c>
      <c r="D59" s="1573">
        <f>EDATE(C59,-1)</f>
        <v>43009</v>
      </c>
      <c r="E59" s="1573">
        <f>EDATE(D59,-1)</f>
        <v>42979</v>
      </c>
      <c r="F59" s="1573">
        <f t="shared" ref="F59:O59" si="16">EDATE(E59,-1)</f>
        <v>42948</v>
      </c>
      <c r="G59" s="1573">
        <f t="shared" si="16"/>
        <v>42917</v>
      </c>
      <c r="H59" s="1573">
        <f t="shared" si="16"/>
        <v>42887</v>
      </c>
      <c r="I59" s="1573">
        <f t="shared" si="16"/>
        <v>42856</v>
      </c>
      <c r="J59" s="1573">
        <f t="shared" si="16"/>
        <v>42826</v>
      </c>
      <c r="K59" s="1573">
        <f t="shared" si="16"/>
        <v>42795</v>
      </c>
      <c r="L59" s="1573">
        <f t="shared" si="16"/>
        <v>42767</v>
      </c>
      <c r="M59" s="1573">
        <f t="shared" si="16"/>
        <v>42736</v>
      </c>
      <c r="N59" s="1573">
        <f t="shared" si="16"/>
        <v>42705</v>
      </c>
      <c r="O59" s="1573">
        <f t="shared" si="16"/>
        <v>42675</v>
      </c>
      <c r="P59" s="1569"/>
    </row>
    <row r="60" spans="1:29" s="115" customFormat="1" ht="15">
      <c r="A60" s="507"/>
      <c r="B60" s="508"/>
      <c r="C60" s="1571">
        <v>100</v>
      </c>
      <c r="D60" s="510"/>
      <c r="E60" s="510"/>
      <c r="F60" s="510"/>
      <c r="G60" s="510"/>
      <c r="H60" s="510"/>
      <c r="I60" s="510"/>
      <c r="J60" s="510"/>
      <c r="K60" s="510"/>
      <c r="L60" s="510"/>
      <c r="M60" s="511"/>
      <c r="N60" s="510"/>
      <c r="O60" s="511"/>
      <c r="P60" s="2674"/>
    </row>
    <row r="61" spans="1:29" s="115" customFormat="1" ht="15.75" thickBot="1">
      <c r="A61" s="513" t="s">
        <v>2588</v>
      </c>
      <c r="B61" s="514"/>
      <c r="C61" s="515"/>
      <c r="D61" s="516"/>
      <c r="E61" s="516"/>
      <c r="F61" s="516"/>
      <c r="G61" s="516"/>
      <c r="H61" s="516"/>
      <c r="I61" s="516"/>
      <c r="J61" s="516"/>
      <c r="K61" s="516"/>
      <c r="L61" s="516"/>
      <c r="M61" s="517"/>
      <c r="N61" s="516"/>
      <c r="O61" s="517"/>
      <c r="P61" s="2674"/>
      <c r="Q61" s="502"/>
    </row>
    <row r="62" spans="1:29" s="115" customFormat="1" ht="15">
      <c r="A62" s="519" t="s">
        <v>2553</v>
      </c>
      <c r="B62" s="508"/>
      <c r="C62" s="520" t="s">
        <v>2655</v>
      </c>
      <c r="D62" s="521"/>
      <c r="E62" s="521"/>
      <c r="F62" s="521"/>
      <c r="G62" s="521"/>
      <c r="H62" s="521"/>
      <c r="I62" s="521"/>
      <c r="J62" s="521"/>
      <c r="K62" s="521"/>
      <c r="L62" s="522"/>
      <c r="M62" s="523"/>
      <c r="N62" s="1149"/>
      <c r="O62" s="1149"/>
      <c r="P62" s="2675"/>
      <c r="Q62" s="502"/>
    </row>
    <row r="63" spans="1:29" s="115" customFormat="1" ht="15.75" thickBot="1">
      <c r="A63" s="519"/>
      <c r="B63" s="508"/>
      <c r="C63" s="509">
        <v>100</v>
      </c>
      <c r="D63" s="510"/>
      <c r="E63" s="510"/>
      <c r="F63" s="510"/>
      <c r="G63" s="510"/>
      <c r="H63" s="510"/>
      <c r="I63" s="510"/>
      <c r="J63" s="510"/>
      <c r="K63" s="510"/>
      <c r="L63" s="510"/>
      <c r="M63" s="512"/>
      <c r="N63" s="1149"/>
      <c r="O63" s="1149"/>
      <c r="P63" s="2674"/>
      <c r="Q63" s="502"/>
    </row>
    <row r="64" spans="1:29">
      <c r="A64" s="525" t="s">
        <v>2591</v>
      </c>
      <c r="B64" s="526" t="s">
        <v>2557</v>
      </c>
      <c r="C64" s="527">
        <f>C9</f>
        <v>0</v>
      </c>
      <c r="D64" s="528"/>
      <c r="E64" s="528"/>
      <c r="F64" s="528"/>
      <c r="G64" s="528"/>
      <c r="H64" s="528"/>
      <c r="I64" s="528"/>
      <c r="J64" s="528"/>
      <c r="K64" s="529"/>
      <c r="L64" s="530"/>
      <c r="M64" s="531"/>
      <c r="N64" s="1150"/>
      <c r="O64" s="1150"/>
      <c r="P64" s="2676"/>
      <c r="Q64" s="502"/>
    </row>
    <row r="65" spans="1:17" ht="15.75" thickBot="1">
      <c r="A65" s="532"/>
      <c r="B65" s="533"/>
      <c r="C65" s="534">
        <v>100</v>
      </c>
      <c r="D65" s="534"/>
      <c r="E65" s="534"/>
      <c r="F65" s="534"/>
      <c r="G65" s="534"/>
      <c r="H65" s="534"/>
      <c r="I65" s="534"/>
      <c r="J65" s="534"/>
      <c r="K65" s="534"/>
      <c r="L65" s="534"/>
      <c r="M65" s="535"/>
      <c r="N65" s="1151"/>
      <c r="O65" s="1151"/>
      <c r="P65" s="2676"/>
      <c r="Q65" s="502"/>
    </row>
    <row r="66" spans="1:17" ht="27.75" thickTop="1">
      <c r="A66" s="532"/>
      <c r="B66" s="536" t="s">
        <v>2560</v>
      </c>
      <c r="C66" s="537" t="s">
        <v>2592</v>
      </c>
      <c r="D66" s="537" t="s">
        <v>2593</v>
      </c>
      <c r="E66" s="537" t="s">
        <v>2594</v>
      </c>
      <c r="F66" s="537" t="s">
        <v>2595</v>
      </c>
      <c r="G66" s="537" t="s">
        <v>2596</v>
      </c>
      <c r="H66" s="537" t="s">
        <v>2597</v>
      </c>
      <c r="I66" s="537" t="s">
        <v>2598</v>
      </c>
      <c r="J66" s="537"/>
      <c r="K66" s="538"/>
      <c r="L66" s="539"/>
      <c r="M66" s="540"/>
      <c r="N66" s="1150"/>
      <c r="O66" s="1150"/>
      <c r="P66" s="2676"/>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1"/>
      <c r="O67" s="1151"/>
      <c r="P67" s="2676"/>
      <c r="Q67" s="502"/>
    </row>
    <row r="68" spans="1:17" ht="15.75" thickTop="1">
      <c r="A68" s="532"/>
      <c r="B68" s="544" t="s">
        <v>2561</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1"/>
      <c r="O68" s="1151"/>
      <c r="P68" s="2676"/>
      <c r="Q68" s="502"/>
    </row>
    <row r="69" spans="1:17" ht="15">
      <c r="A69" s="532"/>
      <c r="B69" s="546"/>
      <c r="C69" s="547"/>
      <c r="D69" s="547"/>
      <c r="E69" s="547"/>
      <c r="F69" s="547"/>
      <c r="G69" s="547"/>
      <c r="H69" s="547"/>
      <c r="I69" s="547"/>
      <c r="J69" s="547"/>
      <c r="K69" s="548"/>
      <c r="L69" s="549"/>
      <c r="M69" s="550"/>
      <c r="N69" s="1150"/>
      <c r="O69" s="1150"/>
      <c r="P69" s="2676"/>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1"/>
      <c r="O70" s="1151"/>
      <c r="P70" s="2676"/>
      <c r="Q70" s="502"/>
    </row>
    <row r="71" spans="1:17" s="469" customFormat="1" ht="15.75" thickTop="1">
      <c r="A71" s="551"/>
      <c r="B71" s="536">
        <f>B12</f>
        <v>111</v>
      </c>
      <c r="C71" s="552"/>
      <c r="D71" s="552"/>
      <c r="E71" s="552"/>
      <c r="F71" s="552"/>
      <c r="G71" s="552"/>
      <c r="H71" s="553"/>
      <c r="I71" s="553"/>
      <c r="J71" s="553"/>
      <c r="K71" s="553"/>
      <c r="L71" s="554"/>
      <c r="M71" s="555"/>
      <c r="N71" s="1152"/>
      <c r="O71" s="1152"/>
      <c r="P71" s="2677"/>
      <c r="Q71" s="557"/>
    </row>
    <row r="72" spans="1:17" s="469" customFormat="1" ht="15.75" thickBot="1">
      <c r="A72" s="551"/>
      <c r="B72" s="541"/>
      <c r="C72" s="558"/>
      <c r="D72" s="534"/>
      <c r="E72" s="534"/>
      <c r="F72" s="534"/>
      <c r="G72" s="534"/>
      <c r="H72" s="534"/>
      <c r="I72" s="534"/>
      <c r="J72" s="534"/>
      <c r="K72" s="534"/>
      <c r="L72" s="534"/>
      <c r="M72" s="535"/>
      <c r="N72" s="1151"/>
      <c r="O72" s="1151"/>
      <c r="P72" s="2677"/>
      <c r="Q72" s="557"/>
    </row>
    <row r="73" spans="1:17" s="469" customFormat="1" ht="15.75" thickTop="1">
      <c r="A73" s="551"/>
      <c r="B73" s="536">
        <f>B13</f>
        <v>111</v>
      </c>
      <c r="C73" s="552"/>
      <c r="D73" s="552"/>
      <c r="E73" s="552"/>
      <c r="F73" s="552"/>
      <c r="G73" s="552"/>
      <c r="H73" s="553"/>
      <c r="I73" s="553"/>
      <c r="J73" s="553"/>
      <c r="K73" s="553"/>
      <c r="L73" s="554"/>
      <c r="M73" s="555"/>
      <c r="N73" s="1152"/>
      <c r="O73" s="1152"/>
      <c r="P73" s="2678"/>
      <c r="Q73" s="559"/>
    </row>
    <row r="74" spans="1:17" s="469" customFormat="1" ht="15.75" thickBot="1">
      <c r="A74" s="551"/>
      <c r="B74" s="541"/>
      <c r="C74" s="558"/>
      <c r="D74" s="558"/>
      <c r="E74" s="558"/>
      <c r="F74" s="558"/>
      <c r="G74" s="558"/>
      <c r="H74" s="560"/>
      <c r="I74" s="560"/>
      <c r="J74" s="560"/>
      <c r="K74" s="560"/>
      <c r="L74" s="560"/>
      <c r="M74" s="561"/>
      <c r="N74" s="1152"/>
      <c r="O74" s="1152"/>
      <c r="P74" s="2677"/>
      <c r="Q74" s="557"/>
    </row>
    <row r="75" spans="1:17" s="469" customFormat="1" ht="15.75" thickTop="1">
      <c r="A75" s="551"/>
      <c r="B75" s="544">
        <f>B14</f>
        <v>111</v>
      </c>
      <c r="C75" s="521"/>
      <c r="D75" s="521"/>
      <c r="E75" s="521"/>
      <c r="F75" s="521"/>
      <c r="G75" s="521"/>
      <c r="H75" s="562"/>
      <c r="I75" s="562"/>
      <c r="J75" s="562"/>
      <c r="K75" s="562"/>
      <c r="L75" s="563"/>
      <c r="M75" s="564"/>
      <c r="N75" s="1152"/>
      <c r="O75" s="1152"/>
      <c r="P75" s="2679"/>
      <c r="Q75" s="557"/>
    </row>
    <row r="76" spans="1:17" s="469" customFormat="1" ht="15.75" thickBot="1">
      <c r="A76" s="566"/>
      <c r="B76" s="567"/>
      <c r="C76" s="568"/>
      <c r="D76" s="568"/>
      <c r="E76" s="568"/>
      <c r="F76" s="568"/>
      <c r="G76" s="568"/>
      <c r="H76" s="569"/>
      <c r="I76" s="569"/>
      <c r="J76" s="569"/>
      <c r="K76" s="569"/>
      <c r="L76" s="569"/>
      <c r="M76" s="570"/>
      <c r="N76" s="1152"/>
      <c r="O76" s="1152"/>
      <c r="P76" s="2677"/>
      <c r="Q76" s="557"/>
    </row>
    <row r="77" spans="1:17">
      <c r="A77" s="525" t="s">
        <v>2562</v>
      </c>
      <c r="B77" s="526" t="s">
        <v>2700</v>
      </c>
      <c r="C77" s="571" t="s">
        <v>2600</v>
      </c>
      <c r="D77" s="571" t="s">
        <v>2601</v>
      </c>
      <c r="E77" s="571" t="s">
        <v>2602</v>
      </c>
      <c r="F77" s="571" t="s">
        <v>2603</v>
      </c>
      <c r="G77" s="571" t="s">
        <v>2604</v>
      </c>
      <c r="H77" s="527"/>
      <c r="I77" s="527"/>
      <c r="J77" s="527"/>
      <c r="K77" s="572"/>
      <c r="L77" s="573"/>
      <c r="M77" s="574"/>
      <c r="N77" s="1150"/>
      <c r="O77" s="1150"/>
      <c r="P77" s="2680"/>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1"/>
      <c r="O78" s="1151"/>
      <c r="P78" s="2676"/>
      <c r="Q78" s="502"/>
    </row>
    <row r="79" spans="1:17" ht="15.75" thickTop="1">
      <c r="A79" s="532"/>
      <c r="B79" s="536" t="s">
        <v>2605</v>
      </c>
      <c r="C79" s="576" t="s">
        <v>2600</v>
      </c>
      <c r="D79" s="576" t="s">
        <v>2601</v>
      </c>
      <c r="E79" s="576" t="s">
        <v>2602</v>
      </c>
      <c r="F79" s="576" t="s">
        <v>2603</v>
      </c>
      <c r="G79" s="576" t="s">
        <v>2604</v>
      </c>
      <c r="H79" s="537"/>
      <c r="I79" s="537"/>
      <c r="J79" s="537"/>
      <c r="K79" s="538"/>
      <c r="L79" s="539"/>
      <c r="M79" s="540"/>
      <c r="N79" s="1150"/>
      <c r="O79" s="1150"/>
      <c r="P79" s="2676"/>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1"/>
      <c r="O80" s="1151"/>
      <c r="P80" s="2676"/>
      <c r="Q80" s="502"/>
    </row>
    <row r="81" spans="1:17" ht="15.75" thickTop="1">
      <c r="A81" s="532"/>
      <c r="B81" s="536" t="s">
        <v>2606</v>
      </c>
      <c r="C81" s="576" t="s">
        <v>2600</v>
      </c>
      <c r="D81" s="576" t="s">
        <v>2601</v>
      </c>
      <c r="E81" s="576" t="s">
        <v>2602</v>
      </c>
      <c r="F81" s="576" t="s">
        <v>2603</v>
      </c>
      <c r="G81" s="576" t="s">
        <v>2604</v>
      </c>
      <c r="H81" s="537"/>
      <c r="I81" s="537"/>
      <c r="J81" s="537"/>
      <c r="K81" s="538"/>
      <c r="L81" s="539"/>
      <c r="M81" s="540"/>
      <c r="N81" s="1150"/>
      <c r="O81" s="1150"/>
      <c r="P81" s="2676"/>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1"/>
      <c r="O82" s="1151"/>
      <c r="P82" s="2676"/>
      <c r="Q82" s="502"/>
    </row>
    <row r="83" spans="1:17" ht="15.75" thickTop="1">
      <c r="A83" s="532"/>
      <c r="B83" s="544" t="s">
        <v>2692</v>
      </c>
      <c r="C83" s="658" t="s">
        <v>2678</v>
      </c>
      <c r="D83" s="658" t="s">
        <v>2679</v>
      </c>
      <c r="E83" s="658" t="s">
        <v>2680</v>
      </c>
      <c r="F83" s="658" t="s">
        <v>2681</v>
      </c>
      <c r="G83" s="658" t="s">
        <v>2682</v>
      </c>
      <c r="H83" s="537"/>
      <c r="I83" s="537"/>
      <c r="J83" s="537"/>
      <c r="K83" s="537"/>
      <c r="L83" s="537"/>
      <c r="M83" s="1380"/>
      <c r="N83" s="1151"/>
      <c r="O83" s="1151"/>
      <c r="P83" s="2676"/>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1"/>
      <c r="O84" s="1151"/>
      <c r="P84" s="2676"/>
      <c r="Q84" s="502"/>
    </row>
    <row r="85" spans="1:17" ht="15.75" thickTop="1">
      <c r="A85" s="532"/>
      <c r="B85" s="536" t="s">
        <v>2701</v>
      </c>
      <c r="C85" s="576" t="s">
        <v>2600</v>
      </c>
      <c r="D85" s="576" t="s">
        <v>2601</v>
      </c>
      <c r="E85" s="576" t="s">
        <v>2602</v>
      </c>
      <c r="F85" s="576" t="s">
        <v>2603</v>
      </c>
      <c r="G85" s="576" t="s">
        <v>2604</v>
      </c>
      <c r="H85" s="537"/>
      <c r="I85" s="537"/>
      <c r="J85" s="537"/>
      <c r="K85" s="538"/>
      <c r="L85" s="539"/>
      <c r="M85" s="540"/>
      <c r="N85" s="1150"/>
      <c r="O85" s="1150"/>
      <c r="P85" s="2676"/>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1"/>
      <c r="O86" s="1151"/>
      <c r="P86" s="2676"/>
      <c r="Q86" s="502"/>
    </row>
    <row r="87" spans="1:17" s="115" customFormat="1" ht="27.75" thickTop="1">
      <c r="A87" s="577"/>
      <c r="B87" s="536" t="s">
        <v>2702</v>
      </c>
      <c r="C87" s="552"/>
      <c r="D87" s="552"/>
      <c r="E87" s="552"/>
      <c r="F87" s="552"/>
      <c r="G87" s="552"/>
      <c r="H87" s="552"/>
      <c r="I87" s="552"/>
      <c r="J87" s="552"/>
      <c r="K87" s="552"/>
      <c r="L87" s="578"/>
      <c r="M87" s="579"/>
      <c r="N87" s="1149"/>
      <c r="O87" s="1149"/>
      <c r="P87" s="2676"/>
      <c r="Q87" s="502"/>
    </row>
    <row r="88" spans="1:17" s="115"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1"/>
      <c r="O88" s="1151"/>
      <c r="P88" s="2676"/>
      <c r="Q88" s="502"/>
    </row>
    <row r="89" spans="1:17" s="115" customFormat="1" ht="15.75" thickTop="1">
      <c r="A89" s="577"/>
      <c r="B89" s="536" t="str">
        <f>B27</f>
        <v>楼层</v>
      </c>
      <c r="C89" s="552"/>
      <c r="D89" s="552"/>
      <c r="E89" s="552"/>
      <c r="F89" s="2627"/>
      <c r="G89" s="552"/>
      <c r="H89" s="552"/>
      <c r="I89" s="552"/>
      <c r="J89" s="552"/>
      <c r="K89" s="552"/>
      <c r="L89" s="552"/>
      <c r="M89" s="579"/>
      <c r="N89" s="1149"/>
      <c r="O89" s="1149"/>
      <c r="P89" s="2676"/>
      <c r="Q89" s="502"/>
    </row>
    <row r="90" spans="1:17" s="115"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1"/>
      <c r="O90" s="1151"/>
      <c r="P90" s="2676"/>
      <c r="Q90" s="502"/>
    </row>
    <row r="91" spans="1:17" s="469" customFormat="1" ht="15.75" thickTop="1">
      <c r="A91" s="551"/>
      <c r="B91" s="536" t="str">
        <f>B28</f>
        <v>朝向</v>
      </c>
      <c r="C91" s="552"/>
      <c r="D91" s="552"/>
      <c r="E91" s="552"/>
      <c r="F91" s="552"/>
      <c r="G91" s="552"/>
      <c r="H91" s="553"/>
      <c r="I91" s="553"/>
      <c r="J91" s="553"/>
      <c r="K91" s="553"/>
      <c r="L91" s="554"/>
      <c r="M91" s="555"/>
      <c r="N91" s="1152"/>
      <c r="O91" s="1152"/>
      <c r="P91" s="2677"/>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2"/>
      <c r="O92" s="1152"/>
      <c r="P92" s="2677"/>
      <c r="Q92" s="557"/>
    </row>
    <row r="93" spans="1:17" ht="15.75" thickTop="1">
      <c r="A93" s="532"/>
      <c r="B93" s="536">
        <f>B29</f>
        <v>111</v>
      </c>
      <c r="C93" s="552"/>
      <c r="D93" s="552"/>
      <c r="E93" s="552"/>
      <c r="F93" s="552"/>
      <c r="G93" s="552"/>
      <c r="H93" s="552"/>
      <c r="I93" s="552"/>
      <c r="J93" s="552"/>
      <c r="K93" s="552"/>
      <c r="L93" s="578"/>
      <c r="M93" s="579"/>
      <c r="N93" s="1150"/>
      <c r="O93" s="1150"/>
      <c r="P93" s="2676"/>
      <c r="Q93" s="502"/>
    </row>
    <row r="94" spans="1:17" ht="15.75" thickBot="1">
      <c r="A94" s="532"/>
      <c r="B94" s="541"/>
      <c r="C94" s="558"/>
      <c r="D94" s="534"/>
      <c r="E94" s="534"/>
      <c r="F94" s="534"/>
      <c r="G94" s="534"/>
      <c r="H94" s="534"/>
      <c r="I94" s="534"/>
      <c r="J94" s="534"/>
      <c r="K94" s="534"/>
      <c r="L94" s="534"/>
      <c r="M94" s="535"/>
      <c r="N94" s="1151"/>
      <c r="O94" s="1151"/>
      <c r="P94" s="2676"/>
      <c r="Q94" s="502"/>
    </row>
    <row r="95" spans="1:17" ht="15.75" thickTop="1">
      <c r="A95" s="532"/>
      <c r="B95" s="536">
        <f>B30</f>
        <v>111</v>
      </c>
      <c r="C95" s="552"/>
      <c r="D95" s="552"/>
      <c r="E95" s="552"/>
      <c r="F95" s="552"/>
      <c r="G95" s="581"/>
      <c r="H95" s="581"/>
      <c r="I95" s="581"/>
      <c r="J95" s="581"/>
      <c r="K95" s="582"/>
      <c r="L95" s="583"/>
      <c r="M95" s="584"/>
      <c r="N95" s="1150"/>
      <c r="O95" s="1150"/>
      <c r="P95" s="2676"/>
      <c r="Q95" s="502"/>
    </row>
    <row r="96" spans="1:17" ht="15.75" thickBot="1">
      <c r="A96" s="532"/>
      <c r="B96" s="541"/>
      <c r="C96" s="558"/>
      <c r="D96" s="558"/>
      <c r="E96" s="558"/>
      <c r="F96" s="558"/>
      <c r="G96" s="534"/>
      <c r="H96" s="534"/>
      <c r="I96" s="534"/>
      <c r="J96" s="534"/>
      <c r="K96" s="534"/>
      <c r="L96" s="534"/>
      <c r="M96" s="535"/>
      <c r="N96" s="1151"/>
      <c r="O96" s="1151"/>
      <c r="P96" s="2676"/>
      <c r="Q96" s="502"/>
    </row>
    <row r="97" spans="1:17" ht="15.75" thickTop="1">
      <c r="A97" s="532"/>
      <c r="B97" s="536">
        <f>B31</f>
        <v>111</v>
      </c>
      <c r="C97" s="552"/>
      <c r="D97" s="552"/>
      <c r="E97" s="552"/>
      <c r="F97" s="552"/>
      <c r="G97" s="581"/>
      <c r="H97" s="581"/>
      <c r="I97" s="581"/>
      <c r="J97" s="581"/>
      <c r="K97" s="582"/>
      <c r="L97" s="583"/>
      <c r="M97" s="584"/>
      <c r="N97" s="1150"/>
      <c r="O97" s="1150"/>
      <c r="P97" s="2676"/>
      <c r="Q97" s="502"/>
    </row>
    <row r="98" spans="1:17" ht="15.75" thickBot="1">
      <c r="A98" s="532"/>
      <c r="B98" s="541"/>
      <c r="C98" s="558"/>
      <c r="D98" s="534"/>
      <c r="E98" s="534"/>
      <c r="F98" s="534"/>
      <c r="G98" s="534"/>
      <c r="H98" s="534"/>
      <c r="I98" s="534"/>
      <c r="J98" s="534"/>
      <c r="K98" s="534"/>
      <c r="L98" s="534"/>
      <c r="M98" s="535"/>
      <c r="N98" s="1151"/>
      <c r="O98" s="1151"/>
      <c r="P98" s="2676"/>
      <c r="Q98" s="502"/>
    </row>
    <row r="99" spans="1:17" ht="15.75" thickTop="1">
      <c r="A99" s="532"/>
      <c r="B99" s="544">
        <f>B32</f>
        <v>111</v>
      </c>
      <c r="C99" s="521"/>
      <c r="D99" s="521"/>
      <c r="E99" s="521"/>
      <c r="F99" s="521"/>
      <c r="G99" s="585"/>
      <c r="H99" s="585"/>
      <c r="I99" s="585"/>
      <c r="J99" s="585"/>
      <c r="K99" s="586"/>
      <c r="L99" s="587"/>
      <c r="M99" s="588"/>
      <c r="N99" s="1150"/>
      <c r="O99" s="1150"/>
      <c r="P99" s="2676"/>
      <c r="Q99" s="502"/>
    </row>
    <row r="100" spans="1:17" ht="15.75" thickBot="1">
      <c r="A100" s="2628"/>
      <c r="B100" s="567"/>
      <c r="C100" s="568"/>
      <c r="D100" s="568"/>
      <c r="E100" s="568"/>
      <c r="F100" s="568"/>
      <c r="G100" s="589"/>
      <c r="H100" s="589"/>
      <c r="I100" s="589"/>
      <c r="J100" s="589"/>
      <c r="K100" s="589"/>
      <c r="L100" s="589"/>
      <c r="M100" s="590"/>
      <c r="N100" s="1151"/>
      <c r="O100" s="1151"/>
      <c r="P100" s="2676"/>
      <c r="Q100" s="502"/>
    </row>
    <row r="101" spans="1:17">
      <c r="A101" s="525" t="s">
        <v>2566</v>
      </c>
      <c r="B101" s="526" t="s">
        <v>2615</v>
      </c>
      <c r="C101" s="528"/>
      <c r="D101" s="528"/>
      <c r="E101" s="528"/>
      <c r="F101" s="528"/>
      <c r="G101" s="528"/>
      <c r="H101" s="528"/>
      <c r="I101" s="528"/>
      <c r="J101" s="528"/>
      <c r="K101" s="529"/>
      <c r="L101" s="530"/>
      <c r="M101" s="531"/>
      <c r="N101" s="1150"/>
      <c r="O101" s="1150"/>
      <c r="P101" s="2676"/>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1"/>
      <c r="O102" s="1151"/>
      <c r="P102" s="2676"/>
      <c r="Q102" s="502"/>
    </row>
    <row r="103" spans="1:17" ht="15.75" thickTop="1">
      <c r="A103" s="532"/>
      <c r="B103" s="536" t="s">
        <v>2616</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9"/>
      <c r="O103" s="1149"/>
      <c r="P103" s="2676"/>
      <c r="Q103" s="502"/>
    </row>
    <row r="104" spans="1:17" s="469" customFormat="1">
      <c r="A104" s="591"/>
      <c r="B104" s="592"/>
      <c r="C104" s="593"/>
      <c r="D104" s="593"/>
      <c r="E104" s="593"/>
      <c r="F104" s="593"/>
      <c r="G104" s="593"/>
      <c r="H104" s="593"/>
      <c r="I104" s="593"/>
      <c r="J104" s="594"/>
      <c r="K104" s="594"/>
      <c r="L104" s="595"/>
      <c r="M104" s="596"/>
      <c r="N104" s="1152"/>
      <c r="O104" s="1152"/>
      <c r="P104" s="2677"/>
      <c r="Q104" s="557"/>
    </row>
    <row r="105" spans="1:17" s="469" customFormat="1" ht="15.75" thickBot="1">
      <c r="A105" s="551"/>
      <c r="B105" s="541"/>
      <c r="C105" s="558"/>
      <c r="D105" s="534"/>
      <c r="E105" s="534"/>
      <c r="F105" s="534"/>
      <c r="G105" s="534"/>
      <c r="H105" s="534"/>
      <c r="I105" s="534"/>
      <c r="J105" s="534"/>
      <c r="K105" s="534"/>
      <c r="L105" s="534"/>
      <c r="M105" s="535"/>
      <c r="N105" s="1151"/>
      <c r="O105" s="1151"/>
      <c r="P105" s="2677"/>
      <c r="Q105" s="557"/>
    </row>
    <row r="106" spans="1:17" ht="15" thickTop="1">
      <c r="A106" s="597"/>
      <c r="B106" s="536" t="s">
        <v>2617</v>
      </c>
      <c r="C106" s="552"/>
      <c r="D106" s="552"/>
      <c r="E106" s="581"/>
      <c r="F106" s="581"/>
      <c r="G106" s="581"/>
      <c r="H106" s="581"/>
      <c r="I106" s="581"/>
      <c r="J106" s="581"/>
      <c r="K106" s="582"/>
      <c r="L106" s="583"/>
      <c r="M106" s="584"/>
      <c r="N106" s="1150"/>
      <c r="O106" s="1150"/>
      <c r="P106" s="2676"/>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1"/>
      <c r="O107" s="1151"/>
      <c r="P107" s="2676"/>
      <c r="Q107" s="502"/>
    </row>
    <row r="108" spans="1:17" ht="15" thickTop="1">
      <c r="A108" s="597"/>
      <c r="B108" s="536" t="s">
        <v>2619</v>
      </c>
      <c r="C108" s="552"/>
      <c r="D108" s="552"/>
      <c r="E108" s="552"/>
      <c r="F108" s="581"/>
      <c r="G108" s="581"/>
      <c r="H108" s="581"/>
      <c r="I108" s="581"/>
      <c r="J108" s="581"/>
      <c r="K108" s="582"/>
      <c r="L108" s="583"/>
      <c r="M108" s="584"/>
      <c r="N108" s="1150"/>
      <c r="O108" s="1150"/>
      <c r="P108" s="2676"/>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1"/>
      <c r="O109" s="1151"/>
      <c r="P109" s="2676"/>
      <c r="Q109" s="502"/>
    </row>
    <row r="110" spans="1:17" ht="15" thickTop="1">
      <c r="A110" s="597"/>
      <c r="B110" s="536" t="s">
        <v>2002</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0"/>
      <c r="O110" s="1150"/>
      <c r="P110" s="2676"/>
      <c r="Q110" s="502"/>
    </row>
    <row r="111" spans="1:17">
      <c r="A111" s="597"/>
      <c r="B111" s="544"/>
      <c r="C111" s="601">
        <v>0.5</v>
      </c>
      <c r="D111" s="601">
        <v>0.6</v>
      </c>
      <c r="E111" s="601">
        <v>0.7</v>
      </c>
      <c r="F111" s="601">
        <v>0.8</v>
      </c>
      <c r="G111" s="601">
        <v>0.9</v>
      </c>
      <c r="H111" s="601">
        <v>1.0001</v>
      </c>
      <c r="I111" s="621"/>
      <c r="J111" s="621"/>
      <c r="K111" s="622"/>
      <c r="L111" s="623"/>
      <c r="M111" s="624"/>
      <c r="N111" s="1150"/>
      <c r="O111" s="1150"/>
      <c r="P111" s="2676"/>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1"/>
      <c r="O112" s="1151"/>
      <c r="P112" s="2676"/>
      <c r="Q112" s="502"/>
    </row>
    <row r="113" spans="1:17" s="469" customFormat="1" ht="15" thickTop="1">
      <c r="A113" s="591"/>
      <c r="B113" s="536" t="s">
        <v>2703</v>
      </c>
      <c r="C113" s="552"/>
      <c r="D113" s="552"/>
      <c r="E113" s="552"/>
      <c r="F113" s="552"/>
      <c r="G113" s="552"/>
      <c r="H113" s="581"/>
      <c r="I113" s="581"/>
      <c r="J113" s="581"/>
      <c r="K113" s="582"/>
      <c r="L113" s="583"/>
      <c r="M113" s="584"/>
      <c r="N113" s="1152"/>
      <c r="O113" s="1152"/>
      <c r="P113" s="2677"/>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2"/>
      <c r="O114" s="1152"/>
      <c r="P114" s="2677"/>
      <c r="Q114" s="557"/>
    </row>
    <row r="115" spans="1:17" ht="15" thickTop="1">
      <c r="A115" s="597"/>
      <c r="B115" s="536" t="s">
        <v>2620</v>
      </c>
      <c r="C115" s="552"/>
      <c r="D115" s="552"/>
      <c r="E115" s="581"/>
      <c r="F115" s="581"/>
      <c r="G115" s="581"/>
      <c r="H115" s="581"/>
      <c r="I115" s="581"/>
      <c r="J115" s="581"/>
      <c r="K115" s="582"/>
      <c r="L115" s="583"/>
      <c r="M115" s="584"/>
      <c r="N115" s="1150"/>
      <c r="O115" s="1150"/>
      <c r="P115" s="2676"/>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1"/>
      <c r="O116" s="1151"/>
      <c r="P116" s="2676"/>
      <c r="Q116" s="502"/>
    </row>
    <row r="117" spans="1:17" ht="15" thickTop="1">
      <c r="A117" s="597"/>
      <c r="B117" s="536" t="s">
        <v>2621</v>
      </c>
      <c r="C117" s="552"/>
      <c r="D117" s="552"/>
      <c r="E117" s="552"/>
      <c r="F117" s="552"/>
      <c r="G117" s="552"/>
      <c r="H117" s="581"/>
      <c r="I117" s="581"/>
      <c r="J117" s="581"/>
      <c r="K117" s="582"/>
      <c r="L117" s="583"/>
      <c r="M117" s="584"/>
      <c r="N117" s="1150"/>
      <c r="O117" s="1150"/>
      <c r="P117" s="2676"/>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1"/>
      <c r="O118" s="1151"/>
      <c r="P118" s="2676"/>
      <c r="Q118" s="502"/>
    </row>
    <row r="119" spans="1:17" ht="15" thickTop="1">
      <c r="A119" s="597"/>
      <c r="B119" s="634" t="s">
        <v>2704</v>
      </c>
      <c r="C119" s="581"/>
      <c r="D119" s="581"/>
      <c r="E119" s="581"/>
      <c r="F119" s="581"/>
      <c r="G119" s="581"/>
      <c r="H119" s="581"/>
      <c r="I119" s="581"/>
      <c r="J119" s="581"/>
      <c r="K119" s="581"/>
      <c r="L119" s="2681"/>
      <c r="M119" s="2682"/>
      <c r="N119" s="1151"/>
      <c r="O119" s="1151"/>
      <c r="P119" s="2683"/>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1"/>
      <c r="O120" s="1151"/>
      <c r="P120" s="2676"/>
      <c r="Q120" s="502"/>
    </row>
    <row r="121" spans="1:17" s="469" customFormat="1" ht="15" thickTop="1">
      <c r="A121" s="591"/>
      <c r="B121" s="536" t="s">
        <v>2687</v>
      </c>
      <c r="C121" s="552"/>
      <c r="D121" s="552"/>
      <c r="E121" s="552"/>
      <c r="F121" s="581"/>
      <c r="G121" s="553"/>
      <c r="H121" s="553"/>
      <c r="I121" s="553"/>
      <c r="J121" s="553"/>
      <c r="K121" s="553"/>
      <c r="L121" s="554"/>
      <c r="M121" s="555"/>
      <c r="N121" s="1152"/>
      <c r="O121" s="1152"/>
      <c r="P121" s="2677"/>
      <c r="Q121" s="557"/>
    </row>
    <row r="122" spans="1:17" s="469" customFormat="1" ht="15.75" thickBot="1">
      <c r="A122" s="551"/>
      <c r="B122" s="533"/>
      <c r="C122" s="558"/>
      <c r="D122" s="558"/>
      <c r="E122" s="558"/>
      <c r="F122" s="558"/>
      <c r="G122" s="558"/>
      <c r="H122" s="558"/>
      <c r="I122" s="558"/>
      <c r="J122" s="558"/>
      <c r="K122" s="558"/>
      <c r="L122" s="558"/>
      <c r="M122" s="558"/>
      <c r="N122" s="1152"/>
      <c r="O122" s="1152"/>
      <c r="P122" s="2677"/>
      <c r="Q122" s="557"/>
    </row>
    <row r="123" spans="1:17" ht="15" thickTop="1">
      <c r="A123" s="597"/>
      <c r="B123" s="536" t="s">
        <v>2623</v>
      </c>
      <c r="C123" s="552"/>
      <c r="D123" s="552"/>
      <c r="E123" s="552"/>
      <c r="F123" s="581"/>
      <c r="G123" s="581"/>
      <c r="H123" s="581"/>
      <c r="I123" s="581"/>
      <c r="J123" s="581"/>
      <c r="K123" s="582"/>
      <c r="L123" s="583"/>
      <c r="M123" s="584"/>
      <c r="N123" s="1150"/>
      <c r="O123" s="1150"/>
      <c r="P123" s="2676"/>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1"/>
      <c r="O124" s="1151"/>
      <c r="P124" s="2676"/>
      <c r="Q124" s="502"/>
    </row>
    <row r="125" spans="1:17" ht="15" thickTop="1">
      <c r="A125" s="597"/>
      <c r="B125" s="536" t="s">
        <v>2624</v>
      </c>
      <c r="C125" s="576" t="s">
        <v>2600</v>
      </c>
      <c r="D125" s="576" t="s">
        <v>2601</v>
      </c>
      <c r="E125" s="576" t="s">
        <v>2602</v>
      </c>
      <c r="F125" s="576" t="s">
        <v>2603</v>
      </c>
      <c r="G125" s="576" t="s">
        <v>2604</v>
      </c>
      <c r="H125" s="537"/>
      <c r="I125" s="537"/>
      <c r="J125" s="537"/>
      <c r="K125" s="538"/>
      <c r="L125" s="539"/>
      <c r="M125" s="540"/>
      <c r="N125" s="1150"/>
      <c r="O125" s="1150"/>
      <c r="P125" s="2677"/>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1"/>
      <c r="O126" s="1151"/>
      <c r="P126" s="2676"/>
      <c r="Q126" s="502"/>
    </row>
    <row r="127" spans="1:17" s="469" customFormat="1" ht="15" thickTop="1">
      <c r="A127" s="591"/>
      <c r="B127" s="536">
        <f>B45</f>
        <v>111</v>
      </c>
      <c r="C127" s="552"/>
      <c r="D127" s="552"/>
      <c r="E127" s="552"/>
      <c r="F127" s="552"/>
      <c r="G127" s="552"/>
      <c r="H127" s="553"/>
      <c r="I127" s="553"/>
      <c r="J127" s="553"/>
      <c r="K127" s="553"/>
      <c r="L127" s="554"/>
      <c r="M127" s="555"/>
      <c r="N127" s="1152"/>
      <c r="O127" s="1152"/>
      <c r="P127" s="2677"/>
      <c r="Q127" s="557"/>
    </row>
    <row r="128" spans="1:17" s="469" customFormat="1" ht="15.75" thickBot="1">
      <c r="A128" s="551"/>
      <c r="B128" s="541"/>
      <c r="C128" s="558"/>
      <c r="D128" s="534"/>
      <c r="E128" s="534"/>
      <c r="F128" s="534"/>
      <c r="G128" s="558"/>
      <c r="H128" s="560"/>
      <c r="I128" s="560"/>
      <c r="J128" s="560"/>
      <c r="K128" s="560"/>
      <c r="L128" s="560"/>
      <c r="M128" s="561"/>
      <c r="N128" s="1152"/>
      <c r="O128" s="1152"/>
      <c r="P128" s="2677"/>
      <c r="Q128" s="557"/>
    </row>
    <row r="129" spans="1:17" ht="15" thickTop="1">
      <c r="A129" s="597"/>
      <c r="B129" s="536">
        <f>B46</f>
        <v>111</v>
      </c>
      <c r="C129" s="552"/>
      <c r="D129" s="552"/>
      <c r="E129" s="552"/>
      <c r="F129" s="552"/>
      <c r="G129" s="581"/>
      <c r="H129" s="581"/>
      <c r="I129" s="581"/>
      <c r="J129" s="581"/>
      <c r="K129" s="582"/>
      <c r="L129" s="583"/>
      <c r="M129" s="584"/>
      <c r="N129" s="1150"/>
      <c r="O129" s="1150"/>
      <c r="P129" s="2676"/>
      <c r="Q129" s="502"/>
    </row>
    <row r="130" spans="1:17" ht="15.75" thickBot="1">
      <c r="A130" s="532"/>
      <c r="B130" s="541"/>
      <c r="C130" s="558"/>
      <c r="D130" s="558"/>
      <c r="E130" s="558"/>
      <c r="F130" s="558"/>
      <c r="G130" s="534"/>
      <c r="H130" s="534"/>
      <c r="I130" s="534"/>
      <c r="J130" s="534"/>
      <c r="K130" s="534"/>
      <c r="L130" s="534"/>
      <c r="M130" s="535"/>
      <c r="N130" s="1151"/>
      <c r="O130" s="1151"/>
      <c r="P130" s="2676"/>
      <c r="Q130" s="502"/>
    </row>
    <row r="131" spans="1:17" ht="15" thickTop="1">
      <c r="A131" s="597"/>
      <c r="B131" s="544">
        <f>B47</f>
        <v>111</v>
      </c>
      <c r="C131" s="521"/>
      <c r="D131" s="521"/>
      <c r="E131" s="521"/>
      <c r="F131" s="521"/>
      <c r="G131" s="585"/>
      <c r="H131" s="585"/>
      <c r="I131" s="585"/>
      <c r="J131" s="585"/>
      <c r="K131" s="521"/>
      <c r="L131" s="522"/>
      <c r="M131" s="588"/>
      <c r="N131" s="1150"/>
      <c r="O131" s="1150"/>
      <c r="P131" s="2676"/>
      <c r="Q131" s="502"/>
    </row>
    <row r="132" spans="1:17" ht="15.75" thickBot="1">
      <c r="A132" s="2628"/>
      <c r="B132" s="567"/>
      <c r="C132" s="568"/>
      <c r="D132" s="568"/>
      <c r="E132" s="568"/>
      <c r="F132" s="568"/>
      <c r="G132" s="589"/>
      <c r="H132" s="589"/>
      <c r="I132" s="589"/>
      <c r="J132" s="589"/>
      <c r="K132" s="589"/>
      <c r="L132" s="589"/>
      <c r="M132" s="590"/>
      <c r="N132" s="1151"/>
      <c r="O132" s="1151"/>
      <c r="P132" s="2676"/>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2531</v>
      </c>
      <c r="B1" s="2661" t="s">
        <v>2705</v>
      </c>
      <c r="C1" s="1617" t="s">
        <v>2533</v>
      </c>
      <c r="D1" s="1618"/>
      <c r="E1" s="1627"/>
      <c r="F1" s="2578"/>
      <c r="G1" s="1628" t="s">
        <v>2646</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2333</v>
      </c>
      <c r="B2" s="1415" t="e">
        <f ca="1">IF(C2="——",ROUND(C43*D3/10000,0),ROUND(C43*D3/10000,0)-D2)</f>
        <v>#DIV/0!</v>
      </c>
      <c r="C2" s="2580"/>
      <c r="D2" s="1122" t="e">
        <f ca="1">SUMIF(INDIRECT("'"&amp;F2&amp;"'"&amp;"!A:A"),"承租人权益价值",INDIRECT("'"&amp;F2&amp;"'"&amp;"!c:c"))</f>
        <v>#REF!</v>
      </c>
      <c r="E2" s="2581" t="s">
        <v>2334</v>
      </c>
      <c r="F2" s="2582"/>
      <c r="G2" s="1123"/>
      <c r="H2" s="1123"/>
      <c r="I2" s="1123"/>
      <c r="J2" s="1123"/>
      <c r="K2" s="1123"/>
      <c r="L2" s="1126"/>
      <c r="M2" s="1127"/>
      <c r="N2" s="1127"/>
      <c r="O2" s="1127"/>
      <c r="P2" s="765"/>
      <c r="Q2" s="765"/>
      <c r="R2" s="765"/>
      <c r="S2" s="765"/>
      <c r="T2" s="765"/>
      <c r="U2" s="765"/>
      <c r="V2" s="765"/>
      <c r="W2" s="765"/>
      <c r="X2" s="765"/>
      <c r="Y2" s="765"/>
      <c r="Z2" s="765"/>
      <c r="AA2" s="765"/>
      <c r="AB2" s="765"/>
      <c r="AC2" s="779"/>
    </row>
    <row r="3" spans="1:29" s="396" customFormat="1" ht="28.5" customHeight="1" thickBot="1">
      <c r="A3" s="245" t="s">
        <v>2335</v>
      </c>
      <c r="B3" s="607" t="e">
        <f ca="1">IF(C2="——",C43,ROUND(B2*10000/D3,0))</f>
        <v>#DIV/0!</v>
      </c>
      <c r="C3" s="398" t="s">
        <v>2647</v>
      </c>
      <c r="D3" s="397">
        <f>IF(D1="",'数据-汇总表'!E3,SUMIF('数据-汇总表'!$C19:$C33,D1,'数据-汇总表'!$E19:$E33))</f>
        <v>67330.170000000013</v>
      </c>
      <c r="E3" s="1123"/>
      <c r="F3" s="1124"/>
      <c r="G3" s="1123"/>
      <c r="H3" s="1123"/>
      <c r="I3" s="1123"/>
      <c r="J3" s="1123"/>
      <c r="K3" s="1125"/>
      <c r="L3" s="1126"/>
      <c r="M3" s="1127"/>
      <c r="N3" s="1127"/>
      <c r="O3" s="1127"/>
      <c r="P3" s="765"/>
      <c r="Q3" s="765"/>
      <c r="R3" s="765"/>
      <c r="S3" s="765"/>
      <c r="T3" s="765"/>
      <c r="U3" s="765"/>
      <c r="V3" s="765"/>
      <c r="W3" s="765"/>
      <c r="X3" s="765"/>
      <c r="Y3" s="765"/>
      <c r="Z3" s="765"/>
      <c r="AA3" s="765"/>
      <c r="AB3" s="783"/>
      <c r="AC3" s="779"/>
    </row>
    <row r="4" spans="1:29" ht="15">
      <c r="A4" s="399" t="s">
        <v>2648</v>
      </c>
      <c r="B4" s="400"/>
      <c r="C4" s="3201" t="s">
        <v>2649</v>
      </c>
      <c r="D4" s="3202"/>
      <c r="E4" s="3203" t="s">
        <v>2650</v>
      </c>
      <c r="F4" s="3204"/>
      <c r="G4" s="3201" t="s">
        <v>2651</v>
      </c>
      <c r="H4" s="3202"/>
      <c r="I4" s="3201" t="s">
        <v>2652</v>
      </c>
      <c r="J4" s="3202"/>
      <c r="K4" s="608" t="s">
        <v>2653</v>
      </c>
      <c r="L4" s="1128"/>
      <c r="M4" s="1129"/>
      <c r="N4" s="1129"/>
      <c r="O4" s="1129"/>
      <c r="P4" s="3205" t="s">
        <v>2654</v>
      </c>
      <c r="Q4" s="3206"/>
      <c r="R4" s="3186" t="s">
        <v>2650</v>
      </c>
      <c r="S4" s="3187"/>
      <c r="T4" s="3186" t="s">
        <v>2651</v>
      </c>
      <c r="U4" s="3187"/>
      <c r="V4" s="3213" t="s">
        <v>2652</v>
      </c>
      <c r="W4" s="3213"/>
      <c r="X4" s="1810"/>
      <c r="Y4" s="3186" t="s">
        <v>2654</v>
      </c>
      <c r="Z4" s="3187"/>
      <c r="AA4" s="3181" t="s">
        <v>2650</v>
      </c>
      <c r="AB4" s="3182" t="s">
        <v>2651</v>
      </c>
      <c r="AC4" s="3181" t="s">
        <v>2652</v>
      </c>
    </row>
    <row r="5" spans="1:29" ht="15">
      <c r="A5" s="402"/>
      <c r="B5" s="403"/>
      <c r="C5" s="3192" t="s">
        <v>2545</v>
      </c>
      <c r="D5" s="3193"/>
      <c r="E5" s="3261" t="s">
        <v>2546</v>
      </c>
      <c r="F5" s="3191"/>
      <c r="G5" s="3192" t="s">
        <v>2547</v>
      </c>
      <c r="H5" s="3193"/>
      <c r="I5" s="3192" t="s">
        <v>2548</v>
      </c>
      <c r="J5" s="3193"/>
      <c r="K5" s="608"/>
      <c r="L5" s="1128"/>
      <c r="M5" s="1129"/>
      <c r="N5" s="1129"/>
      <c r="O5" s="1129"/>
      <c r="P5" s="3207"/>
      <c r="Q5" s="3208"/>
      <c r="R5" s="3188"/>
      <c r="S5" s="3189"/>
      <c r="T5" s="3188"/>
      <c r="U5" s="3189"/>
      <c r="V5" s="3213"/>
      <c r="W5" s="3213"/>
      <c r="X5" s="1810"/>
      <c r="Y5" s="3188"/>
      <c r="Z5" s="3189"/>
      <c r="AA5" s="3182"/>
      <c r="AB5" s="3182"/>
      <c r="AC5" s="3182"/>
    </row>
    <row r="6" spans="1:29" ht="15.75" thickBot="1">
      <c r="A6" s="404"/>
      <c r="B6" s="405"/>
      <c r="C6" s="3194" t="s">
        <v>2549</v>
      </c>
      <c r="D6" s="3195"/>
      <c r="E6" s="3262" t="s">
        <v>2549</v>
      </c>
      <c r="F6" s="3198"/>
      <c r="G6" s="3194" t="s">
        <v>2549</v>
      </c>
      <c r="H6" s="3195"/>
      <c r="I6" s="3194" t="s">
        <v>2549</v>
      </c>
      <c r="J6" s="3195"/>
      <c r="K6" s="608" t="s">
        <v>2550</v>
      </c>
      <c r="L6" s="1128"/>
      <c r="M6" s="1129"/>
      <c r="N6" s="1129"/>
      <c r="O6" s="1129"/>
      <c r="P6" s="3209"/>
      <c r="Q6" s="3210"/>
      <c r="R6" s="3188"/>
      <c r="S6" s="3189"/>
      <c r="T6" s="3211"/>
      <c r="U6" s="3212"/>
      <c r="V6" s="3213"/>
      <c r="W6" s="3213"/>
      <c r="X6" s="1810"/>
      <c r="Y6" s="3211"/>
      <c r="Z6" s="3212"/>
      <c r="AA6" s="3183"/>
      <c r="AB6" s="3183"/>
      <c r="AC6" s="3183"/>
    </row>
    <row r="7" spans="1:29" s="115" customFormat="1" ht="15.75" thickBot="1">
      <c r="A7" s="406" t="s">
        <v>2551</v>
      </c>
      <c r="B7" s="407"/>
      <c r="C7" s="408">
        <f>'数据-取费表'!B2</f>
        <v>43056</v>
      </c>
      <c r="D7" s="409">
        <v>100</v>
      </c>
      <c r="E7" s="410"/>
      <c r="F7" s="411">
        <f>SUMIF(52:52,YEAR(E7)&amp;"-"&amp;MONTH(E7),53:53)</f>
        <v>0</v>
      </c>
      <c r="G7" s="410"/>
      <c r="H7" s="409">
        <f>SUMIF(52:52,YEAR(G7)&amp;"-"&amp;MONTH(G7),53:53)</f>
        <v>0</v>
      </c>
      <c r="I7" s="410"/>
      <c r="J7" s="409">
        <f>SUMIF(52:52,YEAR(I7)&amp;"-"&amp;MONTH(I7),53:53)</f>
        <v>0</v>
      </c>
      <c r="K7" s="609"/>
      <c r="L7" s="1130"/>
      <c r="M7" s="1131"/>
      <c r="N7" s="1131"/>
      <c r="O7" s="1131"/>
      <c r="P7" s="3184" t="s">
        <v>2552</v>
      </c>
      <c r="Q7" s="3214"/>
      <c r="R7" s="767" t="s">
        <v>17</v>
      </c>
      <c r="S7" s="768">
        <f t="shared" ref="S7:S15" si="0">F7</f>
        <v>0</v>
      </c>
      <c r="T7" s="767" t="s">
        <v>17</v>
      </c>
      <c r="U7" s="768">
        <f t="shared" ref="U7:U15" si="1">H7</f>
        <v>0</v>
      </c>
      <c r="V7" s="767" t="s">
        <v>17</v>
      </c>
      <c r="W7" s="768">
        <f t="shared" ref="W7:W15" si="2">J7</f>
        <v>0</v>
      </c>
      <c r="X7" s="769"/>
      <c r="Y7" s="3184" t="s">
        <v>2552</v>
      </c>
      <c r="Z7" s="3185"/>
      <c r="AA7" s="770" t="e">
        <f>D7/F7</f>
        <v>#DIV/0!</v>
      </c>
      <c r="AB7" s="770" t="e">
        <f>D7/H7</f>
        <v>#DIV/0!</v>
      </c>
      <c r="AC7" s="770" t="e">
        <f>D7/J7</f>
        <v>#DIV/0!</v>
      </c>
    </row>
    <row r="8" spans="1:29" s="115" customFormat="1" ht="15.75" thickBot="1">
      <c r="A8" s="406" t="s">
        <v>2553</v>
      </c>
      <c r="B8" s="407"/>
      <c r="C8" s="412" t="s">
        <v>2554</v>
      </c>
      <c r="D8" s="409">
        <v>100</v>
      </c>
      <c r="E8" s="412"/>
      <c r="F8" s="411">
        <f>SUMIF(55:55,E8,56:56)-SUMIF(55:55,C8,56:56)+100</f>
        <v>0</v>
      </c>
      <c r="G8" s="412"/>
      <c r="H8" s="409">
        <f>SUMIF(55:55,G8,56:56)-SUMIF(55:55,C8,56:56)+100</f>
        <v>0</v>
      </c>
      <c r="I8" s="412"/>
      <c r="J8" s="409">
        <f>SUMIF(55:55,I8,56:56)-SUMIF(55:55,C8,56:56)+100</f>
        <v>0</v>
      </c>
      <c r="K8" s="609"/>
      <c r="L8" s="1130"/>
      <c r="M8" s="1131"/>
      <c r="N8" s="1131"/>
      <c r="O8" s="1131"/>
      <c r="P8" s="3184" t="s">
        <v>2555</v>
      </c>
      <c r="Q8" s="3185"/>
      <c r="R8" s="767" t="s">
        <v>17</v>
      </c>
      <c r="S8" s="768">
        <f t="shared" si="0"/>
        <v>0</v>
      </c>
      <c r="T8" s="767" t="s">
        <v>17</v>
      </c>
      <c r="U8" s="768">
        <f t="shared" si="1"/>
        <v>0</v>
      </c>
      <c r="V8" s="767" t="s">
        <v>17</v>
      </c>
      <c r="W8" s="768">
        <f t="shared" si="2"/>
        <v>0</v>
      </c>
      <c r="X8" s="769"/>
      <c r="Y8" s="3184" t="s">
        <v>2555</v>
      </c>
      <c r="Z8" s="3185"/>
      <c r="AA8" s="770" t="e">
        <f t="shared" ref="AA8:AA40" si="3">D8/F8</f>
        <v>#DIV/0!</v>
      </c>
      <c r="AB8" s="770" t="e">
        <f t="shared" ref="AB8:AB40" si="4">D8/H8</f>
        <v>#DIV/0!</v>
      </c>
      <c r="AC8" s="770" t="e">
        <f t="shared" ref="AC8:AC40" si="5">D8/J8</f>
        <v>#DIV/0!</v>
      </c>
    </row>
    <row r="9" spans="1:29" s="115" customFormat="1">
      <c r="A9" s="413" t="s">
        <v>2556</v>
      </c>
      <c r="B9" s="70" t="s">
        <v>2557</v>
      </c>
      <c r="C9" s="414"/>
      <c r="D9" s="132">
        <v>100</v>
      </c>
      <c r="E9" s="417"/>
      <c r="F9" s="132">
        <f>SUMIF(57:57,E9,58:58)-SUMIF(57:57,C9,58:58)+100</f>
        <v>100</v>
      </c>
      <c r="G9" s="415"/>
      <c r="H9" s="132">
        <f>SUMIF(57:57,G9,58:58)-SUMIF(57:57,C9,58:58)+100</f>
        <v>100</v>
      </c>
      <c r="I9" s="415"/>
      <c r="J9" s="132">
        <f>SUMIF(57:57,I9,58:58)-SUMIF(57:57,C9,58:58)+100</f>
        <v>100</v>
      </c>
      <c r="K9" s="609"/>
      <c r="L9" s="1130"/>
      <c r="M9" s="1131"/>
      <c r="N9" s="1131"/>
      <c r="O9" s="1132"/>
      <c r="P9" s="3200" t="s">
        <v>2558</v>
      </c>
      <c r="Q9" s="1792" t="str">
        <f t="shared" ref="Q9:Q15" si="6">B9</f>
        <v>用途</v>
      </c>
      <c r="R9" s="767" t="s">
        <v>17</v>
      </c>
      <c r="S9" s="768">
        <f t="shared" si="0"/>
        <v>100</v>
      </c>
      <c r="T9" s="767" t="s">
        <v>17</v>
      </c>
      <c r="U9" s="768">
        <f t="shared" si="1"/>
        <v>100</v>
      </c>
      <c r="V9" s="767" t="s">
        <v>17</v>
      </c>
      <c r="W9" s="768">
        <f t="shared" si="2"/>
        <v>100</v>
      </c>
      <c r="X9" s="769"/>
      <c r="Y9" s="3058" t="s">
        <v>2559</v>
      </c>
      <c r="Z9" s="54" t="str">
        <f t="shared" ref="Z9:Z15" si="7">Q9</f>
        <v>用途</v>
      </c>
      <c r="AA9" s="770">
        <f t="shared" si="3"/>
        <v>1</v>
      </c>
      <c r="AB9" s="770">
        <f t="shared" si="4"/>
        <v>1</v>
      </c>
      <c r="AC9" s="770">
        <f t="shared" si="5"/>
        <v>1</v>
      </c>
    </row>
    <row r="10" spans="1:29" s="425" customFormat="1" ht="27">
      <c r="A10" s="419"/>
      <c r="B10" s="420" t="s">
        <v>2560</v>
      </c>
      <c r="C10" s="421"/>
      <c r="D10" s="133">
        <v>100</v>
      </c>
      <c r="E10" s="421"/>
      <c r="F10" s="133">
        <f>SUMIF(59:59,E10,60:60)-SUMIF(59:59,C10,60:60)+100</f>
        <v>100</v>
      </c>
      <c r="G10" s="422"/>
      <c r="H10" s="133">
        <f>SUMIF(59:59,G10,60:60)-SUMIF(59:59,C10,60:60)+100</f>
        <v>100</v>
      </c>
      <c r="I10" s="421"/>
      <c r="J10" s="133">
        <f>SUMIF(59:59,I10,60:60)-SUMIF(59:59,C10,60:60)+100</f>
        <v>100</v>
      </c>
      <c r="K10" s="610"/>
      <c r="L10" s="1133"/>
      <c r="M10" s="1134"/>
      <c r="N10" s="1134"/>
      <c r="O10" s="1135"/>
      <c r="P10" s="3200"/>
      <c r="Q10" s="1792" t="str">
        <f t="shared" si="6"/>
        <v>土地使用年限（年）</v>
      </c>
      <c r="R10" s="767" t="s">
        <v>17</v>
      </c>
      <c r="S10" s="768">
        <f t="shared" si="0"/>
        <v>100</v>
      </c>
      <c r="T10" s="767" t="s">
        <v>17</v>
      </c>
      <c r="U10" s="768">
        <f t="shared" si="1"/>
        <v>100</v>
      </c>
      <c r="V10" s="767" t="s">
        <v>17</v>
      </c>
      <c r="W10" s="768">
        <f t="shared" si="2"/>
        <v>100</v>
      </c>
      <c r="X10" s="769"/>
      <c r="Y10" s="3058"/>
      <c r="Z10" s="54" t="str">
        <f t="shared" si="7"/>
        <v>土地使用年限（年）</v>
      </c>
      <c r="AA10" s="770">
        <f t="shared" si="3"/>
        <v>1</v>
      </c>
      <c r="AB10" s="770">
        <f t="shared" si="4"/>
        <v>1</v>
      </c>
      <c r="AC10" s="770">
        <f t="shared" si="5"/>
        <v>1</v>
      </c>
    </row>
    <row r="11" spans="1:29" ht="15">
      <c r="A11" s="426"/>
      <c r="B11" s="420" t="s">
        <v>2561</v>
      </c>
      <c r="C11" s="427"/>
      <c r="D11" s="133">
        <v>100</v>
      </c>
      <c r="E11" s="427"/>
      <c r="F11" s="133" t="e">
        <f>LOOKUP(E11,62:62,63:63)-LOOKUP(C11,62:62,63:63)+100</f>
        <v>#N/A</v>
      </c>
      <c r="G11" s="428"/>
      <c r="H11" s="133" t="e">
        <f>LOOKUP(G11,62:62,63:63)-LOOKUP(C11,62:62,63:63)+100</f>
        <v>#N/A</v>
      </c>
      <c r="I11" s="427"/>
      <c r="J11" s="133" t="e">
        <f>LOOKUP(I11,62:62,63:63)-LOOKUP(C11,62:62,63:63)+100</f>
        <v>#N/A</v>
      </c>
      <c r="K11" s="610"/>
      <c r="L11" s="1136"/>
      <c r="M11" s="1129"/>
      <c r="N11" s="1129"/>
      <c r="O11" s="1137"/>
      <c r="P11" s="3200"/>
      <c r="Q11" s="1792" t="str">
        <f t="shared" si="6"/>
        <v>容积率</v>
      </c>
      <c r="R11" s="767" t="s">
        <v>17</v>
      </c>
      <c r="S11" s="768" t="e">
        <f t="shared" si="0"/>
        <v>#N/A</v>
      </c>
      <c r="T11" s="767" t="s">
        <v>17</v>
      </c>
      <c r="U11" s="768" t="e">
        <f t="shared" si="1"/>
        <v>#N/A</v>
      </c>
      <c r="V11" s="767" t="s">
        <v>17</v>
      </c>
      <c r="W11" s="768" t="e">
        <f t="shared" si="2"/>
        <v>#N/A</v>
      </c>
      <c r="X11" s="769"/>
      <c r="Y11" s="3058"/>
      <c r="Z11" s="54" t="str">
        <f t="shared" si="7"/>
        <v>容积率</v>
      </c>
      <c r="AA11" s="770" t="e">
        <f t="shared" si="3"/>
        <v>#N/A</v>
      </c>
      <c r="AB11" s="770" t="e">
        <f t="shared" si="4"/>
        <v>#N/A</v>
      </c>
      <c r="AC11" s="770" t="e">
        <f t="shared" si="5"/>
        <v>#N/A</v>
      </c>
    </row>
    <row r="12" spans="1:29" s="115" customFormat="1" ht="15">
      <c r="A12" s="429"/>
      <c r="B12" s="2594">
        <v>111</v>
      </c>
      <c r="C12" s="430"/>
      <c r="D12" s="431">
        <v>100</v>
      </c>
      <c r="E12" s="432"/>
      <c r="F12" s="133">
        <f>SUMIF(64:64,E12,65:65)-SUMIF(64:64,C12,65:65)+100</f>
        <v>100</v>
      </c>
      <c r="G12" s="2684"/>
      <c r="H12" s="133">
        <f>SUMIF(64:64,G12,65:65)-SUMIF(64:64,C12,65:65)+100</f>
        <v>100</v>
      </c>
      <c r="I12" s="467"/>
      <c r="J12" s="133">
        <f>SUMIF(64:64,I12,65:65)-SUMIF(64:64,C12,65:65)+100</f>
        <v>100</v>
      </c>
      <c r="K12" s="611"/>
      <c r="L12" s="1130"/>
      <c r="M12" s="1131"/>
      <c r="N12" s="1131"/>
      <c r="O12" s="1132"/>
      <c r="P12" s="3200"/>
      <c r="Q12" s="1792">
        <f t="shared" si="6"/>
        <v>111</v>
      </c>
      <c r="R12" s="767" t="s">
        <v>17</v>
      </c>
      <c r="S12" s="768">
        <f t="shared" si="0"/>
        <v>100</v>
      </c>
      <c r="T12" s="767" t="s">
        <v>17</v>
      </c>
      <c r="U12" s="768">
        <f t="shared" si="1"/>
        <v>100</v>
      </c>
      <c r="V12" s="767" t="s">
        <v>17</v>
      </c>
      <c r="W12" s="768">
        <f t="shared" si="2"/>
        <v>100</v>
      </c>
      <c r="X12" s="769"/>
      <c r="Y12" s="3058"/>
      <c r="Z12" s="54">
        <f t="shared" si="7"/>
        <v>111</v>
      </c>
      <c r="AA12" s="770">
        <f>D12/F12</f>
        <v>1</v>
      </c>
      <c r="AB12" s="770">
        <f>D12/H12</f>
        <v>1</v>
      </c>
      <c r="AC12" s="770">
        <f>D12/J12</f>
        <v>1</v>
      </c>
    </row>
    <row r="13" spans="1:29" ht="15">
      <c r="A13" s="426"/>
      <c r="B13" s="2594">
        <v>111</v>
      </c>
      <c r="C13" s="432"/>
      <c r="D13" s="433">
        <v>100</v>
      </c>
      <c r="E13" s="432"/>
      <c r="F13" s="133">
        <f>SUMIF(66:66,E13,67:67)-SUMIF(66:66,C13,67:67)+100</f>
        <v>100</v>
      </c>
      <c r="G13" s="2684"/>
      <c r="H13" s="433">
        <f>SUMIF(66:66,G13,67:67)-SUMIF(66:66,C13,67:67)+100</f>
        <v>100</v>
      </c>
      <c r="I13" s="467"/>
      <c r="J13" s="433">
        <f>SUMIF(66:66,I13,67:67)-SUMIF(66:66,C13,67:67)+100</f>
        <v>100</v>
      </c>
      <c r="K13" s="611"/>
      <c r="L13" s="1138"/>
      <c r="M13" s="1129"/>
      <c r="N13" s="1129"/>
      <c r="O13" s="1137"/>
      <c r="P13" s="3200"/>
      <c r="Q13" s="1792">
        <f t="shared" si="6"/>
        <v>111</v>
      </c>
      <c r="R13" s="767" t="s">
        <v>17</v>
      </c>
      <c r="S13" s="768">
        <f t="shared" si="0"/>
        <v>100</v>
      </c>
      <c r="T13" s="767" t="s">
        <v>17</v>
      </c>
      <c r="U13" s="768">
        <f t="shared" si="1"/>
        <v>100</v>
      </c>
      <c r="V13" s="767" t="s">
        <v>17</v>
      </c>
      <c r="W13" s="768">
        <f t="shared" si="2"/>
        <v>100</v>
      </c>
      <c r="X13" s="769"/>
      <c r="Y13" s="3058"/>
      <c r="Z13" s="54">
        <f t="shared" si="7"/>
        <v>111</v>
      </c>
      <c r="AA13" s="770">
        <f t="shared" si="3"/>
        <v>1</v>
      </c>
      <c r="AB13" s="770">
        <f t="shared" si="4"/>
        <v>1</v>
      </c>
      <c r="AC13" s="770">
        <f t="shared" si="5"/>
        <v>1</v>
      </c>
    </row>
    <row r="14" spans="1:29" ht="15.75" thickBot="1">
      <c r="A14" s="434"/>
      <c r="B14" s="2596">
        <v>111</v>
      </c>
      <c r="C14" s="435"/>
      <c r="D14" s="436">
        <v>100</v>
      </c>
      <c r="E14" s="435"/>
      <c r="F14" s="436">
        <f>SUMIF(68:68,E14,69:69)-SUMIF(68:68,C14,69:69)+100</f>
        <v>100</v>
      </c>
      <c r="G14" s="2684"/>
      <c r="H14" s="436">
        <f>SUMIF(68:68,G14,69:69)-SUMIF(68:68,C14,69:69)+100</f>
        <v>100</v>
      </c>
      <c r="I14" s="467"/>
      <c r="J14" s="436">
        <f>SUMIF(68:68,I14,69:69)-SUMIF(68:68,C14,69:69)+100</f>
        <v>100</v>
      </c>
      <c r="K14" s="611"/>
      <c r="L14" s="1138"/>
      <c r="M14" s="1129"/>
      <c r="N14" s="1129"/>
      <c r="O14" s="1137"/>
      <c r="P14" s="3200"/>
      <c r="Q14" s="1792">
        <f t="shared" si="6"/>
        <v>111</v>
      </c>
      <c r="R14" s="767" t="s">
        <v>17</v>
      </c>
      <c r="S14" s="768">
        <f t="shared" si="0"/>
        <v>100</v>
      </c>
      <c r="T14" s="767" t="s">
        <v>17</v>
      </c>
      <c r="U14" s="768">
        <f t="shared" si="1"/>
        <v>100</v>
      </c>
      <c r="V14" s="767" t="s">
        <v>17</v>
      </c>
      <c r="W14" s="768">
        <f t="shared" si="2"/>
        <v>100</v>
      </c>
      <c r="X14" s="769"/>
      <c r="Y14" s="3058"/>
      <c r="Z14" s="54">
        <f t="shared" si="7"/>
        <v>111</v>
      </c>
      <c r="AA14" s="770">
        <f t="shared" si="3"/>
        <v>1</v>
      </c>
      <c r="AB14" s="770">
        <f t="shared" si="4"/>
        <v>1</v>
      </c>
      <c r="AC14" s="770">
        <f t="shared" si="5"/>
        <v>1</v>
      </c>
    </row>
    <row r="15" spans="1:29" ht="57">
      <c r="A15" s="438" t="s">
        <v>2562</v>
      </c>
      <c r="B15" s="68" t="s">
        <v>2706</v>
      </c>
      <c r="C15" s="2685"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8"/>
      <c r="M15" s="1129"/>
      <c r="N15" s="1129"/>
      <c r="O15" s="1137"/>
      <c r="P15" s="3215" t="s">
        <v>2563</v>
      </c>
      <c r="Q15" s="1807" t="str">
        <f t="shared" si="6"/>
        <v>产业集聚程度</v>
      </c>
      <c r="R15" s="771" t="s">
        <v>17</v>
      </c>
      <c r="S15" s="772">
        <f t="shared" si="0"/>
        <v>100</v>
      </c>
      <c r="T15" s="771" t="s">
        <v>17</v>
      </c>
      <c r="U15" s="772">
        <f t="shared" si="1"/>
        <v>100</v>
      </c>
      <c r="V15" s="771" t="s">
        <v>17</v>
      </c>
      <c r="W15" s="772">
        <f t="shared" si="2"/>
        <v>100</v>
      </c>
      <c r="X15" s="1810"/>
      <c r="Y15" s="3215" t="s">
        <v>2563</v>
      </c>
      <c r="Z15" s="1811" t="str">
        <f t="shared" si="7"/>
        <v>产业集聚程度</v>
      </c>
      <c r="AA15" s="1808">
        <f t="shared" si="3"/>
        <v>1</v>
      </c>
      <c r="AB15" s="1808">
        <f t="shared" si="4"/>
        <v>1</v>
      </c>
      <c r="AC15" s="1808">
        <f t="shared" si="5"/>
        <v>1</v>
      </c>
    </row>
    <row r="16" spans="1:29" ht="15">
      <c r="A16" s="426"/>
      <c r="B16" s="444"/>
      <c r="C16" s="445"/>
      <c r="D16" s="446"/>
      <c r="E16" s="445"/>
      <c r="F16" s="447"/>
      <c r="G16" s="445"/>
      <c r="H16" s="448"/>
      <c r="I16" s="445"/>
      <c r="J16" s="446"/>
      <c r="K16" s="613"/>
      <c r="L16" s="1138"/>
      <c r="M16" s="1129"/>
      <c r="N16" s="1129"/>
      <c r="O16" s="1137"/>
      <c r="P16" s="3216"/>
      <c r="Q16" s="1807"/>
      <c r="R16" s="771"/>
      <c r="S16" s="772"/>
      <c r="T16" s="771"/>
      <c r="U16" s="772"/>
      <c r="V16" s="771"/>
      <c r="W16" s="772"/>
      <c r="X16" s="1810"/>
      <c r="Y16" s="3216"/>
      <c r="Z16" s="1811"/>
      <c r="AA16" s="1808">
        <v>1</v>
      </c>
      <c r="AB16" s="1808">
        <v>1</v>
      </c>
      <c r="AC16" s="1808">
        <v>1</v>
      </c>
    </row>
    <row r="17" spans="1:29" ht="85.5">
      <c r="A17" s="426"/>
      <c r="B17" s="449" t="s">
        <v>2103</v>
      </c>
      <c r="C17" s="2601"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8"/>
      <c r="M17" s="1129"/>
      <c r="N17" s="1129"/>
      <c r="O17" s="1137"/>
      <c r="P17" s="3216"/>
      <c r="Q17" s="1807" t="str">
        <f>B17</f>
        <v>交通便捷度</v>
      </c>
      <c r="R17" s="771" t="s">
        <v>17</v>
      </c>
      <c r="S17" s="772">
        <f>F17</f>
        <v>100</v>
      </c>
      <c r="T17" s="771" t="s">
        <v>17</v>
      </c>
      <c r="U17" s="772">
        <f>H17</f>
        <v>100</v>
      </c>
      <c r="V17" s="771" t="s">
        <v>17</v>
      </c>
      <c r="W17" s="772">
        <f>J17</f>
        <v>100</v>
      </c>
      <c r="X17" s="1810"/>
      <c r="Y17" s="3216"/>
      <c r="Z17" s="1811" t="str">
        <f>Q17</f>
        <v>交通便捷度</v>
      </c>
      <c r="AA17" s="1808">
        <f t="shared" si="3"/>
        <v>1</v>
      </c>
      <c r="AB17" s="1808">
        <f t="shared" si="4"/>
        <v>1</v>
      </c>
      <c r="AC17" s="1808">
        <f t="shared" si="5"/>
        <v>1</v>
      </c>
    </row>
    <row r="18" spans="1:29" ht="15">
      <c r="A18" s="426"/>
      <c r="B18" s="454"/>
      <c r="C18" s="2602"/>
      <c r="D18" s="448"/>
      <c r="E18" s="2604"/>
      <c r="F18" s="451"/>
      <c r="G18" s="2603"/>
      <c r="H18" s="446"/>
      <c r="I18" s="2604"/>
      <c r="J18" s="446"/>
      <c r="K18" s="613"/>
      <c r="L18" s="1138"/>
      <c r="M18" s="1129"/>
      <c r="N18" s="1129"/>
      <c r="O18" s="1137"/>
      <c r="P18" s="3216"/>
      <c r="Q18" s="1807"/>
      <c r="R18" s="771"/>
      <c r="S18" s="772"/>
      <c r="T18" s="771"/>
      <c r="U18" s="772"/>
      <c r="V18" s="771"/>
      <c r="W18" s="772"/>
      <c r="X18" s="1810"/>
      <c r="Y18" s="3216"/>
      <c r="Z18" s="1811"/>
      <c r="AA18" s="1808">
        <v>1</v>
      </c>
      <c r="AB18" s="1808">
        <v>1</v>
      </c>
      <c r="AC18" s="1808">
        <v>1</v>
      </c>
    </row>
    <row r="19" spans="1:29" ht="42.75">
      <c r="A19" s="426"/>
      <c r="B19" s="449" t="s">
        <v>2691</v>
      </c>
      <c r="C19" s="2601"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8"/>
      <c r="M19" s="1129"/>
      <c r="N19" s="1129"/>
      <c r="O19" s="1137"/>
      <c r="P19" s="3216"/>
      <c r="Q19" s="1807" t="str">
        <f>B19</f>
        <v>公共配套设施</v>
      </c>
      <c r="R19" s="771" t="s">
        <v>17</v>
      </c>
      <c r="S19" s="772">
        <f>F19</f>
        <v>100</v>
      </c>
      <c r="T19" s="771" t="s">
        <v>17</v>
      </c>
      <c r="U19" s="772">
        <f>H19</f>
        <v>100</v>
      </c>
      <c r="V19" s="771" t="s">
        <v>17</v>
      </c>
      <c r="W19" s="772">
        <f>J19</f>
        <v>100</v>
      </c>
      <c r="X19" s="1810"/>
      <c r="Y19" s="3216"/>
      <c r="Z19" s="1811" t="str">
        <f>Q19</f>
        <v>公共配套设施</v>
      </c>
      <c r="AA19" s="1808">
        <f t="shared" si="3"/>
        <v>1</v>
      </c>
      <c r="AB19" s="1808">
        <f t="shared" si="4"/>
        <v>1</v>
      </c>
      <c r="AC19" s="1808">
        <f t="shared" si="5"/>
        <v>1</v>
      </c>
    </row>
    <row r="20" spans="1:29" ht="15">
      <c r="A20" s="426"/>
      <c r="B20" s="454"/>
      <c r="C20" s="445"/>
      <c r="D20" s="446"/>
      <c r="E20" s="2599"/>
      <c r="F20" s="447"/>
      <c r="G20" s="2598"/>
      <c r="H20" s="446"/>
      <c r="I20" s="2599"/>
      <c r="J20" s="446"/>
      <c r="K20" s="613"/>
      <c r="L20" s="1138"/>
      <c r="M20" s="1129"/>
      <c r="N20" s="1129"/>
      <c r="O20" s="1137"/>
      <c r="P20" s="3216"/>
      <c r="Q20" s="1807"/>
      <c r="R20" s="771"/>
      <c r="S20" s="772"/>
      <c r="T20" s="771"/>
      <c r="U20" s="772"/>
      <c r="V20" s="771"/>
      <c r="W20" s="772"/>
      <c r="X20" s="1810"/>
      <c r="Y20" s="3216"/>
      <c r="Z20" s="1811"/>
      <c r="AA20" s="1808">
        <v>1</v>
      </c>
      <c r="AB20" s="1808">
        <v>1</v>
      </c>
      <c r="AC20" s="1808">
        <v>1</v>
      </c>
    </row>
    <row r="21" spans="1:29" ht="28.5">
      <c r="A21" s="426"/>
      <c r="B21" s="1382" t="s">
        <v>2692</v>
      </c>
      <c r="C21" s="2601"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8"/>
      <c r="M21" s="1129"/>
      <c r="N21" s="1129"/>
      <c r="O21" s="1137"/>
      <c r="P21" s="3216"/>
      <c r="Q21" s="1807" t="str">
        <f>B21</f>
        <v>基础设施水平</v>
      </c>
      <c r="R21" s="771" t="s">
        <v>17</v>
      </c>
      <c r="S21" s="772">
        <f>F21</f>
        <v>100</v>
      </c>
      <c r="T21" s="771" t="s">
        <v>17</v>
      </c>
      <c r="U21" s="772">
        <f>H21</f>
        <v>100</v>
      </c>
      <c r="V21" s="771" t="s">
        <v>17</v>
      </c>
      <c r="W21" s="772">
        <f>J21</f>
        <v>100</v>
      </c>
      <c r="X21" s="1810"/>
      <c r="Y21" s="3216"/>
      <c r="Z21" s="1811" t="str">
        <f>Q21</f>
        <v>基础设施水平</v>
      </c>
      <c r="AA21" s="1808">
        <f t="shared" ref="AA21" si="8">D21/F21</f>
        <v>1</v>
      </c>
      <c r="AB21" s="1808">
        <f t="shared" ref="AB21" si="9">D21/H21</f>
        <v>1</v>
      </c>
      <c r="AC21" s="1808">
        <f t="shared" ref="AC21" si="10">D21/J21</f>
        <v>1</v>
      </c>
    </row>
    <row r="22" spans="1:29" ht="15">
      <c r="A22" s="426"/>
      <c r="B22" s="1382"/>
      <c r="C22" s="2602"/>
      <c r="D22" s="446"/>
      <c r="E22" s="445"/>
      <c r="F22" s="447"/>
      <c r="G22" s="445"/>
      <c r="H22" s="446"/>
      <c r="I22" s="445"/>
      <c r="J22" s="446"/>
      <c r="K22" s="1381"/>
      <c r="L22" s="1138"/>
      <c r="M22" s="1129"/>
      <c r="N22" s="1129"/>
      <c r="O22" s="1137"/>
      <c r="P22" s="3216"/>
      <c r="Q22" s="1807"/>
      <c r="R22" s="771"/>
      <c r="S22" s="772"/>
      <c r="T22" s="771"/>
      <c r="U22" s="772"/>
      <c r="V22" s="771"/>
      <c r="W22" s="772"/>
      <c r="X22" s="1810"/>
      <c r="Y22" s="3216"/>
      <c r="Z22" s="1811"/>
      <c r="AA22" s="1808">
        <v>1</v>
      </c>
      <c r="AB22" s="1808">
        <v>1</v>
      </c>
      <c r="AC22" s="1808">
        <v>1</v>
      </c>
    </row>
    <row r="23" spans="1:29" ht="71.25">
      <c r="A23" s="426"/>
      <c r="B23" s="449" t="s">
        <v>2693</v>
      </c>
      <c r="C23" s="2601"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8"/>
      <c r="M23" s="1129"/>
      <c r="N23" s="1129"/>
      <c r="O23" s="1137"/>
      <c r="P23" s="3216"/>
      <c r="Q23" s="1807" t="str">
        <f>B23</f>
        <v>环境质量</v>
      </c>
      <c r="R23" s="771" t="s">
        <v>17</v>
      </c>
      <c r="S23" s="772">
        <f>F23</f>
        <v>100</v>
      </c>
      <c r="T23" s="771" t="s">
        <v>17</v>
      </c>
      <c r="U23" s="772">
        <f>H23</f>
        <v>100</v>
      </c>
      <c r="V23" s="771" t="s">
        <v>17</v>
      </c>
      <c r="W23" s="772">
        <f>J23</f>
        <v>100</v>
      </c>
      <c r="X23" s="1810"/>
      <c r="Y23" s="3216"/>
      <c r="Z23" s="1811" t="str">
        <f>Q23</f>
        <v>环境质量</v>
      </c>
      <c r="AA23" s="1808">
        <f t="shared" si="3"/>
        <v>1</v>
      </c>
      <c r="AB23" s="1808">
        <f t="shared" si="4"/>
        <v>1</v>
      </c>
      <c r="AC23" s="1808">
        <f t="shared" si="5"/>
        <v>1</v>
      </c>
    </row>
    <row r="24" spans="1:29" ht="15">
      <c r="A24" s="426"/>
      <c r="B24" s="1382"/>
      <c r="C24" s="445"/>
      <c r="D24" s="446"/>
      <c r="E24" s="2599"/>
      <c r="F24" s="447"/>
      <c r="G24" s="2598"/>
      <c r="H24" s="446"/>
      <c r="I24" s="2599"/>
      <c r="J24" s="446"/>
      <c r="K24" s="613"/>
      <c r="L24" s="1138"/>
      <c r="M24" s="1129"/>
      <c r="N24" s="1129"/>
      <c r="O24" s="1137"/>
      <c r="P24" s="3216"/>
      <c r="Q24" s="1807"/>
      <c r="R24" s="771"/>
      <c r="S24" s="772"/>
      <c r="T24" s="771"/>
      <c r="U24" s="772"/>
      <c r="V24" s="771"/>
      <c r="W24" s="772"/>
      <c r="X24" s="1810"/>
      <c r="Y24" s="3216"/>
      <c r="Z24" s="1811"/>
      <c r="AA24" s="1808">
        <v>1</v>
      </c>
      <c r="AB24" s="1808">
        <v>1</v>
      </c>
      <c r="AC24" s="1808">
        <v>1</v>
      </c>
    </row>
    <row r="25" spans="1:29" ht="15">
      <c r="A25" s="402"/>
      <c r="B25" s="1384">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8"/>
      <c r="M25" s="1129"/>
      <c r="N25" s="1129"/>
      <c r="O25" s="1137"/>
      <c r="P25" s="3216"/>
      <c r="Q25" s="1807">
        <f>B25</f>
        <v>111</v>
      </c>
      <c r="R25" s="771" t="s">
        <v>17</v>
      </c>
      <c r="S25" s="772">
        <f>F25</f>
        <v>100</v>
      </c>
      <c r="T25" s="771" t="s">
        <v>17</v>
      </c>
      <c r="U25" s="772">
        <f>H25</f>
        <v>100</v>
      </c>
      <c r="V25" s="771" t="s">
        <v>17</v>
      </c>
      <c r="W25" s="772">
        <f>J25</f>
        <v>100</v>
      </c>
      <c r="X25" s="1810"/>
      <c r="Y25" s="3216"/>
      <c r="Z25" s="1811">
        <f>Q25</f>
        <v>111</v>
      </c>
      <c r="AA25" s="1808">
        <f t="shared" si="3"/>
        <v>1</v>
      </c>
      <c r="AB25" s="1808">
        <f t="shared" si="4"/>
        <v>1</v>
      </c>
      <c r="AC25" s="1808">
        <f t="shared" si="5"/>
        <v>1</v>
      </c>
    </row>
    <row r="26" spans="1:29" ht="15">
      <c r="A26" s="426"/>
      <c r="B26" s="1384">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8"/>
      <c r="M26" s="1129"/>
      <c r="N26" s="1129"/>
      <c r="O26" s="1137"/>
      <c r="P26" s="3216"/>
      <c r="Q26" s="1807">
        <f t="shared" ref="Q26:Q40" si="11">B26</f>
        <v>111</v>
      </c>
      <c r="R26" s="771" t="s">
        <v>17</v>
      </c>
      <c r="S26" s="772">
        <f>F26</f>
        <v>100</v>
      </c>
      <c r="T26" s="771" t="s">
        <v>17</v>
      </c>
      <c r="U26" s="772">
        <f>H26</f>
        <v>100</v>
      </c>
      <c r="V26" s="771" t="s">
        <v>17</v>
      </c>
      <c r="W26" s="772">
        <f>J26</f>
        <v>100</v>
      </c>
      <c r="X26" s="1810"/>
      <c r="Y26" s="3216"/>
      <c r="Z26" s="1811">
        <f>Q26</f>
        <v>111</v>
      </c>
      <c r="AA26" s="1808">
        <f t="shared" si="3"/>
        <v>1</v>
      </c>
      <c r="AB26" s="1808">
        <f t="shared" si="4"/>
        <v>1</v>
      </c>
      <c r="AC26" s="1808">
        <f t="shared" si="5"/>
        <v>1</v>
      </c>
    </row>
    <row r="27" spans="1:29" s="115" customFormat="1" ht="15">
      <c r="A27" s="429"/>
      <c r="B27" s="1384">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0"/>
      <c r="M27" s="1131"/>
      <c r="N27" s="1131"/>
      <c r="O27" s="1132"/>
      <c r="P27" s="3216"/>
      <c r="Q27" s="1792">
        <f t="shared" si="11"/>
        <v>111</v>
      </c>
      <c r="R27" s="767" t="s">
        <v>17</v>
      </c>
      <c r="S27" s="768">
        <f>F27</f>
        <v>100</v>
      </c>
      <c r="T27" s="767" t="s">
        <v>17</v>
      </c>
      <c r="U27" s="768">
        <f>H27</f>
        <v>100</v>
      </c>
      <c r="V27" s="767" t="s">
        <v>17</v>
      </c>
      <c r="W27" s="768">
        <f>J27</f>
        <v>100</v>
      </c>
      <c r="X27" s="769"/>
      <c r="Y27" s="3216"/>
      <c r="Z27" s="54">
        <f>Q27</f>
        <v>111</v>
      </c>
      <c r="AA27" s="1808">
        <f>D27/F27</f>
        <v>1</v>
      </c>
      <c r="AB27" s="1808">
        <f>D27/H27</f>
        <v>1</v>
      </c>
      <c r="AC27" s="1808">
        <f>D27/J27</f>
        <v>1</v>
      </c>
    </row>
    <row r="28" spans="1:29" ht="15.75" thickBot="1">
      <c r="A28" s="434"/>
      <c r="B28" s="1384">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8"/>
      <c r="M28" s="1129"/>
      <c r="N28" s="1129"/>
      <c r="O28" s="1137"/>
      <c r="P28" s="3216"/>
      <c r="Q28" s="1807">
        <f t="shared" si="11"/>
        <v>111</v>
      </c>
      <c r="R28" s="771" t="s">
        <v>17</v>
      </c>
      <c r="S28" s="772">
        <f t="shared" ref="S28:S40" si="12">F28</f>
        <v>100</v>
      </c>
      <c r="T28" s="771" t="s">
        <v>17</v>
      </c>
      <c r="U28" s="772">
        <f t="shared" ref="U28:U40" si="13">H28</f>
        <v>100</v>
      </c>
      <c r="V28" s="771" t="s">
        <v>17</v>
      </c>
      <c r="W28" s="772">
        <f t="shared" ref="W28:W40" si="14">J28</f>
        <v>100</v>
      </c>
      <c r="X28" s="1810"/>
      <c r="Y28" s="3216"/>
      <c r="Z28" s="1811">
        <f t="shared" ref="Z28:Z40" si="15">Q28</f>
        <v>111</v>
      </c>
      <c r="AA28" s="1808">
        <f t="shared" si="3"/>
        <v>1</v>
      </c>
      <c r="AB28" s="1808">
        <f t="shared" si="4"/>
        <v>1</v>
      </c>
      <c r="AC28" s="1808">
        <f t="shared" si="5"/>
        <v>1</v>
      </c>
    </row>
    <row r="29" spans="1:29" ht="15">
      <c r="A29" s="464" t="s">
        <v>2566</v>
      </c>
      <c r="B29" s="70" t="s">
        <v>2696</v>
      </c>
      <c r="C29" s="2671"/>
      <c r="D29" s="465">
        <v>100</v>
      </c>
      <c r="E29" s="2671"/>
      <c r="F29" s="459">
        <f>SUMIF(88:88,E29,89:89)-SUMIF(88:88,C29,89:89)+100</f>
        <v>100</v>
      </c>
      <c r="G29" s="2671"/>
      <c r="H29" s="433">
        <f>SUMIF(88:88,G29,89:89)-SUMIF(88:88,C29,89:89)+100</f>
        <v>100</v>
      </c>
      <c r="I29" s="2671"/>
      <c r="J29" s="465">
        <f>SUMIF(88:88,I29,89:89)-SUMIF(88:88,C29,89:89)+100</f>
        <v>100</v>
      </c>
      <c r="K29" s="610"/>
      <c r="L29" s="1138"/>
      <c r="M29" s="1129"/>
      <c r="N29" s="1129"/>
      <c r="O29" s="1137"/>
      <c r="P29" s="3217" t="s">
        <v>2568</v>
      </c>
      <c r="Q29" s="1807" t="str">
        <f t="shared" si="11"/>
        <v>建筑类型</v>
      </c>
      <c r="R29" s="771" t="s">
        <v>17</v>
      </c>
      <c r="S29" s="772">
        <f t="shared" si="12"/>
        <v>100</v>
      </c>
      <c r="T29" s="771" t="s">
        <v>17</v>
      </c>
      <c r="U29" s="772">
        <f t="shared" si="13"/>
        <v>100</v>
      </c>
      <c r="V29" s="771" t="s">
        <v>17</v>
      </c>
      <c r="W29" s="772">
        <f t="shared" si="14"/>
        <v>100</v>
      </c>
      <c r="X29" s="1810"/>
      <c r="Y29" s="3218" t="s">
        <v>2568</v>
      </c>
      <c r="Z29" s="1811" t="str">
        <f t="shared" si="15"/>
        <v>建筑类型</v>
      </c>
      <c r="AA29" s="1808">
        <f t="shared" si="3"/>
        <v>1</v>
      </c>
      <c r="AB29" s="1808">
        <f t="shared" si="4"/>
        <v>1</v>
      </c>
      <c r="AC29" s="1808">
        <f t="shared" si="5"/>
        <v>1</v>
      </c>
    </row>
    <row r="30" spans="1:29" s="469" customFormat="1" ht="15">
      <c r="A30" s="466"/>
      <c r="B30" s="420" t="s">
        <v>2569</v>
      </c>
      <c r="C30" s="467"/>
      <c r="D30" s="133">
        <v>100</v>
      </c>
      <c r="E30" s="428"/>
      <c r="F30" s="423" t="e">
        <f>LOOKUP(E30,91:91,92:92)-LOOKUP(C30,91:91,92:92)+100</f>
        <v>#N/A</v>
      </c>
      <c r="G30" s="427"/>
      <c r="H30" s="133" t="e">
        <f>LOOKUP(G30,91:91,92:92)-LOOKUP(C30,91:91,92:92)+100</f>
        <v>#N/A</v>
      </c>
      <c r="I30" s="427"/>
      <c r="J30" s="133" t="e">
        <f>LOOKUP(I30,91:91,92:92)-LOOKUP(C30,91:91,92:92)+100</f>
        <v>#N/A</v>
      </c>
      <c r="K30" s="611"/>
      <c r="L30" s="1136"/>
      <c r="M30" s="1139"/>
      <c r="N30" s="1139"/>
      <c r="O30" s="1140"/>
      <c r="P30" s="3218"/>
      <c r="Q30" s="773" t="str">
        <f t="shared" si="11"/>
        <v>项目建筑规模</v>
      </c>
      <c r="R30" s="774" t="s">
        <v>17</v>
      </c>
      <c r="S30" s="775" t="e">
        <f t="shared" si="12"/>
        <v>#N/A</v>
      </c>
      <c r="T30" s="774" t="s">
        <v>17</v>
      </c>
      <c r="U30" s="775" t="e">
        <f t="shared" si="13"/>
        <v>#N/A</v>
      </c>
      <c r="V30" s="774" t="s">
        <v>17</v>
      </c>
      <c r="W30" s="775" t="e">
        <f t="shared" si="14"/>
        <v>#N/A</v>
      </c>
      <c r="X30" s="776"/>
      <c r="Y30" s="3218"/>
      <c r="Z30" s="777" t="str">
        <f t="shared" si="15"/>
        <v>项目建筑规模</v>
      </c>
      <c r="AA30" s="1808" t="e">
        <f t="shared" si="3"/>
        <v>#N/A</v>
      </c>
      <c r="AB30" s="1808" t="e">
        <f t="shared" si="4"/>
        <v>#N/A</v>
      </c>
      <c r="AC30" s="1808" t="e">
        <f t="shared" si="5"/>
        <v>#N/A</v>
      </c>
    </row>
    <row r="31" spans="1:29" ht="15">
      <c r="A31" s="470"/>
      <c r="B31" s="420" t="s">
        <v>2570</v>
      </c>
      <c r="C31" s="458"/>
      <c r="D31" s="433">
        <v>100</v>
      </c>
      <c r="E31" s="458"/>
      <c r="F31" s="459">
        <f>SUMIF(93:93,E31,94:94)-SUMIF(93:93,C31,94:94)+100</f>
        <v>100</v>
      </c>
      <c r="G31" s="458"/>
      <c r="H31" s="433">
        <f>SUMIF(93:93,G31,94:94)-SUMIF(93:93,C31,94:94)+100</f>
        <v>100</v>
      </c>
      <c r="I31" s="458"/>
      <c r="J31" s="433">
        <f>SUMIF(93:93,I31,94:94)-SUMIF(93:93,C31,94:94)+100</f>
        <v>100</v>
      </c>
      <c r="K31" s="610"/>
      <c r="L31" s="1138"/>
      <c r="M31" s="1129"/>
      <c r="N31" s="1129"/>
      <c r="O31" s="1137"/>
      <c r="P31" s="3218"/>
      <c r="Q31" s="1807" t="str">
        <f t="shared" si="11"/>
        <v>建筑结构</v>
      </c>
      <c r="R31" s="771" t="s">
        <v>17</v>
      </c>
      <c r="S31" s="772">
        <f t="shared" si="12"/>
        <v>100</v>
      </c>
      <c r="T31" s="771" t="s">
        <v>17</v>
      </c>
      <c r="U31" s="772">
        <f t="shared" si="13"/>
        <v>100</v>
      </c>
      <c r="V31" s="771" t="s">
        <v>17</v>
      </c>
      <c r="W31" s="772">
        <f t="shared" si="14"/>
        <v>100</v>
      </c>
      <c r="X31" s="1810"/>
      <c r="Y31" s="3218"/>
      <c r="Z31" s="1811" t="str">
        <f t="shared" si="15"/>
        <v>建筑结构</v>
      </c>
      <c r="AA31" s="1808">
        <f t="shared" si="3"/>
        <v>1</v>
      </c>
      <c r="AB31" s="1808">
        <f t="shared" si="4"/>
        <v>1</v>
      </c>
      <c r="AC31" s="1808">
        <f t="shared" si="5"/>
        <v>1</v>
      </c>
    </row>
    <row r="32" spans="1:29" ht="15">
      <c r="A32" s="470"/>
      <c r="B32" s="420" t="s">
        <v>2664</v>
      </c>
      <c r="C32" s="458"/>
      <c r="D32" s="433">
        <v>100</v>
      </c>
      <c r="E32" s="458"/>
      <c r="F32" s="459">
        <f>SUMIF(95:95,E32,96:96)-SUMIF(95:95,C32,96:96)+100</f>
        <v>100</v>
      </c>
      <c r="G32" s="458"/>
      <c r="H32" s="433">
        <f>SUMIF(95:95,G32,96:96)-SUMIF(95:95,C32,96:96)+100</f>
        <v>100</v>
      </c>
      <c r="I32" s="458"/>
      <c r="J32" s="433">
        <f>SUMIF(95:95,I32,96:96)-SUMIF(95:95,C32,96:96)+100</f>
        <v>100</v>
      </c>
      <c r="K32" s="610"/>
      <c r="L32" s="1138"/>
      <c r="M32" s="1129"/>
      <c r="N32" s="1129"/>
      <c r="O32" s="1137"/>
      <c r="P32" s="3218"/>
      <c r="Q32" s="1807" t="str">
        <f t="shared" si="11"/>
        <v>公共部分装修</v>
      </c>
      <c r="R32" s="771" t="s">
        <v>17</v>
      </c>
      <c r="S32" s="772">
        <f t="shared" si="12"/>
        <v>100</v>
      </c>
      <c r="T32" s="771" t="s">
        <v>17</v>
      </c>
      <c r="U32" s="772">
        <f t="shared" si="13"/>
        <v>100</v>
      </c>
      <c r="V32" s="771" t="s">
        <v>17</v>
      </c>
      <c r="W32" s="772">
        <f t="shared" si="14"/>
        <v>100</v>
      </c>
      <c r="X32" s="1810"/>
      <c r="Y32" s="3218"/>
      <c r="Z32" s="1811" t="str">
        <f t="shared" si="15"/>
        <v>公共部分装修</v>
      </c>
      <c r="AA32" s="1808">
        <f t="shared" si="3"/>
        <v>1</v>
      </c>
      <c r="AB32" s="1808">
        <f t="shared" si="4"/>
        <v>1</v>
      </c>
      <c r="AC32" s="1808">
        <f t="shared" si="5"/>
        <v>1</v>
      </c>
    </row>
    <row r="33" spans="1:29" ht="15">
      <c r="A33" s="470"/>
      <c r="B33" s="420" t="s">
        <v>2665</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8"/>
      <c r="M33" s="1129"/>
      <c r="N33" s="1129"/>
      <c r="O33" s="1137"/>
      <c r="P33" s="3218"/>
      <c r="Q33" s="1807" t="str">
        <f t="shared" si="11"/>
        <v>成新度</v>
      </c>
      <c r="R33" s="771" t="s">
        <v>17</v>
      </c>
      <c r="S33" s="772" t="e">
        <f t="shared" si="12"/>
        <v>#N/A</v>
      </c>
      <c r="T33" s="771" t="s">
        <v>17</v>
      </c>
      <c r="U33" s="772" t="e">
        <f t="shared" si="13"/>
        <v>#N/A</v>
      </c>
      <c r="V33" s="771" t="s">
        <v>17</v>
      </c>
      <c r="W33" s="772" t="e">
        <f t="shared" si="14"/>
        <v>#N/A</v>
      </c>
      <c r="X33" s="1810"/>
      <c r="Y33" s="3218"/>
      <c r="Z33" s="1811" t="str">
        <f t="shared" si="15"/>
        <v>成新度</v>
      </c>
      <c r="AA33" s="1808" t="e">
        <f t="shared" si="3"/>
        <v>#N/A</v>
      </c>
      <c r="AB33" s="1808" t="e">
        <f t="shared" si="4"/>
        <v>#N/A</v>
      </c>
      <c r="AC33" s="1808" t="e">
        <f t="shared" si="5"/>
        <v>#N/A</v>
      </c>
    </row>
    <row r="34" spans="1:29" s="115" customFormat="1" ht="15">
      <c r="A34" s="471"/>
      <c r="B34" s="420" t="s">
        <v>2698</v>
      </c>
      <c r="C34" s="458"/>
      <c r="D34" s="133">
        <v>100</v>
      </c>
      <c r="E34" s="458"/>
      <c r="F34" s="459">
        <f>SUMIF(100:100,E34,101:101)-SUMIF(100:100,C34,101:101)+100</f>
        <v>100</v>
      </c>
      <c r="G34" s="458"/>
      <c r="H34" s="433">
        <f>SUMIF(100:100,G34,101:101)-SUMIF(100:100,C34,101:101)+100</f>
        <v>100</v>
      </c>
      <c r="I34" s="458"/>
      <c r="J34" s="433">
        <f>SUMIF(100:100,I34,101:101)-SUMIF(100:100,C34,101:101)+100</f>
        <v>100</v>
      </c>
      <c r="K34" s="610"/>
      <c r="L34" s="1130"/>
      <c r="M34" s="1131"/>
      <c r="N34" s="1131"/>
      <c r="O34" s="1132"/>
      <c r="P34" s="3218"/>
      <c r="Q34" s="1792" t="str">
        <f t="shared" si="11"/>
        <v>物业管理</v>
      </c>
      <c r="R34" s="767" t="s">
        <v>17</v>
      </c>
      <c r="S34" s="768">
        <f t="shared" si="12"/>
        <v>100</v>
      </c>
      <c r="T34" s="767" t="s">
        <v>17</v>
      </c>
      <c r="U34" s="768">
        <f t="shared" si="13"/>
        <v>100</v>
      </c>
      <c r="V34" s="767" t="s">
        <v>17</v>
      </c>
      <c r="W34" s="768">
        <f t="shared" si="14"/>
        <v>100</v>
      </c>
      <c r="X34" s="769"/>
      <c r="Y34" s="3218"/>
      <c r="Z34" s="54" t="str">
        <f t="shared" si="15"/>
        <v>物业管理</v>
      </c>
      <c r="AA34" s="770">
        <f t="shared" si="3"/>
        <v>1</v>
      </c>
      <c r="AB34" s="770">
        <f t="shared" si="4"/>
        <v>1</v>
      </c>
      <c r="AC34" s="770">
        <f t="shared" si="5"/>
        <v>1</v>
      </c>
    </row>
    <row r="35" spans="1:29" ht="15">
      <c r="A35" s="470"/>
      <c r="B35" s="420" t="s">
        <v>2666</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8"/>
      <c r="M35" s="1129"/>
      <c r="N35" s="1129"/>
      <c r="O35" s="1137"/>
      <c r="P35" s="3218" t="s">
        <v>2568</v>
      </c>
      <c r="Q35" s="1807" t="str">
        <f t="shared" si="11"/>
        <v>市政基础设施</v>
      </c>
      <c r="R35" s="771" t="s">
        <v>17</v>
      </c>
      <c r="S35" s="772">
        <f t="shared" si="12"/>
        <v>100</v>
      </c>
      <c r="T35" s="771" t="s">
        <v>17</v>
      </c>
      <c r="U35" s="772">
        <f t="shared" si="13"/>
        <v>100</v>
      </c>
      <c r="V35" s="771" t="s">
        <v>17</v>
      </c>
      <c r="W35" s="772">
        <f t="shared" si="14"/>
        <v>100</v>
      </c>
      <c r="X35" s="1810"/>
      <c r="Y35" s="3218" t="s">
        <v>2568</v>
      </c>
      <c r="Z35" s="1811" t="str">
        <f t="shared" si="15"/>
        <v>市政基础设施</v>
      </c>
      <c r="AA35" s="1808">
        <f t="shared" si="3"/>
        <v>1</v>
      </c>
      <c r="AB35" s="1808">
        <f t="shared" si="4"/>
        <v>1</v>
      </c>
      <c r="AC35" s="1808">
        <f t="shared" si="5"/>
        <v>1</v>
      </c>
    </row>
    <row r="36" spans="1:29" ht="15">
      <c r="A36" s="470"/>
      <c r="B36" s="420" t="s">
        <v>2671</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8"/>
      <c r="M36" s="1129"/>
      <c r="N36" s="1129"/>
      <c r="O36" s="1137"/>
      <c r="P36" s="3218"/>
      <c r="Q36" s="1807" t="str">
        <f t="shared" si="11"/>
        <v>内部装修</v>
      </c>
      <c r="R36" s="771" t="s">
        <v>17</v>
      </c>
      <c r="S36" s="772">
        <f t="shared" si="12"/>
        <v>100</v>
      </c>
      <c r="T36" s="771" t="s">
        <v>17</v>
      </c>
      <c r="U36" s="772">
        <f t="shared" si="13"/>
        <v>100</v>
      </c>
      <c r="V36" s="771" t="s">
        <v>17</v>
      </c>
      <c r="W36" s="772">
        <f t="shared" si="14"/>
        <v>100</v>
      </c>
      <c r="X36" s="1810"/>
      <c r="Y36" s="3218"/>
      <c r="Z36" s="1811" t="str">
        <f t="shared" si="15"/>
        <v>内部装修</v>
      </c>
      <c r="AA36" s="1808">
        <f t="shared" si="3"/>
        <v>1</v>
      </c>
      <c r="AB36" s="1808">
        <f t="shared" si="4"/>
        <v>1</v>
      </c>
      <c r="AC36" s="1808">
        <f t="shared" si="5"/>
        <v>1</v>
      </c>
    </row>
    <row r="37" spans="1:29" ht="15">
      <c r="A37" s="470"/>
      <c r="B37" s="420" t="s">
        <v>2707</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8"/>
      <c r="M37" s="1129"/>
      <c r="N37" s="1129"/>
      <c r="O37" s="1137"/>
      <c r="P37" s="3218"/>
      <c r="Q37" s="1807" t="str">
        <f t="shared" si="11"/>
        <v>内部装修状况</v>
      </c>
      <c r="R37" s="771" t="s">
        <v>17</v>
      </c>
      <c r="S37" s="772">
        <f t="shared" si="12"/>
        <v>100</v>
      </c>
      <c r="T37" s="771" t="s">
        <v>17</v>
      </c>
      <c r="U37" s="772">
        <f t="shared" si="13"/>
        <v>100</v>
      </c>
      <c r="V37" s="771" t="s">
        <v>17</v>
      </c>
      <c r="W37" s="772">
        <f t="shared" si="14"/>
        <v>100</v>
      </c>
      <c r="X37" s="1810"/>
      <c r="Y37" s="3218"/>
      <c r="Z37" s="1811" t="str">
        <f t="shared" si="15"/>
        <v>内部装修状况</v>
      </c>
      <c r="AA37" s="1808">
        <f t="shared" si="3"/>
        <v>1</v>
      </c>
      <c r="AB37" s="1808">
        <f t="shared" si="4"/>
        <v>1</v>
      </c>
      <c r="AC37" s="1808">
        <f t="shared" si="5"/>
        <v>1</v>
      </c>
    </row>
    <row r="38" spans="1:29" s="469" customFormat="1" ht="15">
      <c r="A38" s="466"/>
      <c r="B38" s="1384">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6"/>
      <c r="M38" s="1139"/>
      <c r="N38" s="1139"/>
      <c r="O38" s="1140"/>
      <c r="P38" s="3218"/>
      <c r="Q38" s="773">
        <f t="shared" si="11"/>
        <v>111</v>
      </c>
      <c r="R38" s="774" t="s">
        <v>17</v>
      </c>
      <c r="S38" s="775">
        <f t="shared" si="12"/>
        <v>100</v>
      </c>
      <c r="T38" s="774" t="s">
        <v>17</v>
      </c>
      <c r="U38" s="775">
        <f t="shared" si="13"/>
        <v>100</v>
      </c>
      <c r="V38" s="774" t="s">
        <v>17</v>
      </c>
      <c r="W38" s="775">
        <f t="shared" si="14"/>
        <v>100</v>
      </c>
      <c r="X38" s="776"/>
      <c r="Y38" s="3218"/>
      <c r="Z38" s="777">
        <f t="shared" si="15"/>
        <v>111</v>
      </c>
      <c r="AA38" s="1808">
        <f t="shared" si="3"/>
        <v>1</v>
      </c>
      <c r="AB38" s="1808">
        <f t="shared" si="4"/>
        <v>1</v>
      </c>
      <c r="AC38" s="1808">
        <f t="shared" si="5"/>
        <v>1</v>
      </c>
    </row>
    <row r="39" spans="1:29" ht="15">
      <c r="A39" s="470"/>
      <c r="B39" s="1384">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8"/>
      <c r="M39" s="1129"/>
      <c r="N39" s="1129"/>
      <c r="O39" s="1137"/>
      <c r="P39" s="3218"/>
      <c r="Q39" s="1807">
        <f t="shared" si="11"/>
        <v>111</v>
      </c>
      <c r="R39" s="771" t="s">
        <v>17</v>
      </c>
      <c r="S39" s="772">
        <f t="shared" si="12"/>
        <v>100</v>
      </c>
      <c r="T39" s="771" t="s">
        <v>17</v>
      </c>
      <c r="U39" s="772">
        <f t="shared" si="13"/>
        <v>100</v>
      </c>
      <c r="V39" s="771" t="s">
        <v>17</v>
      </c>
      <c r="W39" s="772">
        <f t="shared" si="14"/>
        <v>100</v>
      </c>
      <c r="X39" s="1810"/>
      <c r="Y39" s="3218"/>
      <c r="Z39" s="1811">
        <f t="shared" si="15"/>
        <v>111</v>
      </c>
      <c r="AA39" s="1808">
        <f t="shared" si="3"/>
        <v>1</v>
      </c>
      <c r="AB39" s="1808">
        <f t="shared" si="4"/>
        <v>1</v>
      </c>
      <c r="AC39" s="1808">
        <f t="shared" si="5"/>
        <v>1</v>
      </c>
    </row>
    <row r="40" spans="1:29" ht="15.75" thickBot="1">
      <c r="A40" s="476"/>
      <c r="B40" s="2596">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8"/>
      <c r="M40" s="1129"/>
      <c r="N40" s="1129"/>
      <c r="O40" s="1137"/>
      <c r="P40" s="3238"/>
      <c r="Q40" s="1807">
        <f t="shared" si="11"/>
        <v>111</v>
      </c>
      <c r="R40" s="771" t="s">
        <v>17</v>
      </c>
      <c r="S40" s="772">
        <f t="shared" si="12"/>
        <v>100</v>
      </c>
      <c r="T40" s="771" t="s">
        <v>17</v>
      </c>
      <c r="U40" s="772">
        <f t="shared" si="13"/>
        <v>100</v>
      </c>
      <c r="V40" s="771" t="s">
        <v>17</v>
      </c>
      <c r="W40" s="772">
        <f t="shared" si="14"/>
        <v>100</v>
      </c>
      <c r="X40" s="1810"/>
      <c r="Y40" s="3238"/>
      <c r="Z40" s="1811">
        <f t="shared" si="15"/>
        <v>111</v>
      </c>
      <c r="AA40" s="1808">
        <f t="shared" si="3"/>
        <v>1</v>
      </c>
      <c r="AB40" s="1808">
        <f t="shared" si="4"/>
        <v>1</v>
      </c>
      <c r="AC40" s="1808">
        <f t="shared" si="5"/>
        <v>1</v>
      </c>
    </row>
    <row r="41" spans="1:29" ht="15">
      <c r="A41" s="477" t="s">
        <v>2580</v>
      </c>
      <c r="B41" s="478"/>
      <c r="C41" s="1404" t="s">
        <v>1</v>
      </c>
      <c r="D41" s="1405"/>
      <c r="E41" s="1406"/>
      <c r="F41" s="1407"/>
      <c r="G41" s="1408"/>
      <c r="H41" s="1409"/>
      <c r="I41" s="1406"/>
      <c r="J41" s="1409"/>
      <c r="K41" s="780"/>
      <c r="L41" s="1141"/>
      <c r="M41" s="1142"/>
      <c r="N41" s="1129"/>
      <c r="O41" s="1142"/>
      <c r="P41" s="3200" t="str">
        <f>A41</f>
        <v>成交单价（元/平方米）</v>
      </c>
      <c r="Q41" s="3200"/>
      <c r="R41" s="3231">
        <f>E41</f>
        <v>0</v>
      </c>
      <c r="S41" s="3231"/>
      <c r="T41" s="3231">
        <f>G41</f>
        <v>0</v>
      </c>
      <c r="U41" s="3231"/>
      <c r="V41" s="3231">
        <f>I41</f>
        <v>0</v>
      </c>
      <c r="W41" s="3231"/>
      <c r="X41" s="756"/>
      <c r="Y41" s="778"/>
      <c r="Z41" s="756"/>
      <c r="AA41" s="756"/>
      <c r="AB41" s="756"/>
      <c r="AC41" s="756"/>
    </row>
    <row r="42" spans="1:29" ht="15.75" thickBot="1">
      <c r="A42" s="484" t="s">
        <v>2672</v>
      </c>
      <c r="B42" s="485"/>
      <c r="C42" s="1410" t="e">
        <f>R43</f>
        <v>#DIV/0!</v>
      </c>
      <c r="D42" s="1411"/>
      <c r="E42" s="1412" t="e">
        <f>R42</f>
        <v>#DIV/0!</v>
      </c>
      <c r="F42" s="1412"/>
      <c r="G42" s="1410" t="e">
        <f>T42</f>
        <v>#DIV/0!</v>
      </c>
      <c r="H42" s="1411"/>
      <c r="I42" s="1412" t="e">
        <f>V42</f>
        <v>#DIV/0!</v>
      </c>
      <c r="J42" s="1411"/>
      <c r="K42" s="781"/>
      <c r="L42" s="1141"/>
      <c r="M42" s="1142"/>
      <c r="N42" s="1129"/>
      <c r="O42" s="1142"/>
      <c r="P42" s="3200" t="str">
        <f>A42</f>
        <v>比较价值（元/平方米）</v>
      </c>
      <c r="Q42" s="3200"/>
      <c r="R42" s="3231" t="e">
        <f>IF(F1="售价",ROUND(PRODUCT(R41,AA7:AA40),0),ROUND(PRODUCT(R41,AA7:AA40),1))</f>
        <v>#DIV/0!</v>
      </c>
      <c r="S42" s="3231"/>
      <c r="T42" s="3231" t="e">
        <f>IF(F1="售价",ROUND(PRODUCT(T41,AB7:AB40),0),ROUND(PRODUCT(T41,AB7:AB40),1))</f>
        <v>#DIV/0!</v>
      </c>
      <c r="U42" s="3231"/>
      <c r="V42" s="3231" t="e">
        <f>IF(F1="售价",ROUND(PRODUCT(V41,AC7:AC40),0),ROUND(PRODUCT(V41,AC7:AC40),1))</f>
        <v>#DIV/0!</v>
      </c>
      <c r="W42" s="3231"/>
      <c r="X42" s="756"/>
      <c r="Y42" s="756"/>
      <c r="Z42" s="756"/>
      <c r="AA42" s="756"/>
      <c r="AB42" s="756"/>
      <c r="AC42" s="756"/>
    </row>
    <row r="43" spans="1:29" ht="15.75" thickBot="1">
      <c r="A43" s="490" t="s">
        <v>2673</v>
      </c>
      <c r="B43" s="491"/>
      <c r="C43" s="1414" t="e">
        <f>R43</f>
        <v>#DIV/0!</v>
      </c>
      <c r="D43" s="1414"/>
      <c r="E43" s="1414"/>
      <c r="F43" s="1414"/>
      <c r="G43" s="1414"/>
      <c r="H43" s="1414"/>
      <c r="I43" s="1414"/>
      <c r="J43" s="1414"/>
      <c r="K43" s="782"/>
      <c r="L43" s="1141"/>
      <c r="M43" s="1142"/>
      <c r="N43" s="1142"/>
      <c r="O43" s="1142"/>
      <c r="P43" s="3220" t="str">
        <f>A43</f>
        <v>估价对象XX用房的比较价值（楼面单价，元/平方米）</v>
      </c>
      <c r="Q43" s="3221"/>
      <c r="R43" s="3232" t="e">
        <f>IF(F1="售价",ROUND(AVERAGE(R42:V42),0),ROUND(AVERAGE(R42:V42),1))</f>
        <v>#DIV/0!</v>
      </c>
      <c r="S43" s="3232"/>
      <c r="T43" s="3232"/>
      <c r="U43" s="3232"/>
      <c r="V43" s="3232"/>
      <c r="W43" s="3232"/>
      <c r="X43" s="756"/>
      <c r="Y43" s="756"/>
      <c r="Z43" s="756"/>
      <c r="AA43" s="756"/>
      <c r="AB43" s="756"/>
      <c r="AC43" s="756"/>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5" t="s">
        <v>2674</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3"/>
      <c r="L46" s="1104"/>
      <c r="M46" s="1142"/>
      <c r="N46" s="1142"/>
      <c r="O46" s="1142"/>
    </row>
    <row r="47" spans="1:29" ht="13.5" customHeight="1">
      <c r="A47" s="1142"/>
      <c r="B47" s="1142"/>
      <c r="C47" s="495" t="s">
        <v>2675</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3"/>
      <c r="L47" s="1104"/>
      <c r="M47" s="1142"/>
      <c r="N47" s="1142"/>
      <c r="O47" s="1142"/>
    </row>
    <row r="48" spans="1:29" s="500" customFormat="1" ht="13.5" customHeight="1">
      <c r="A48" s="1143"/>
      <c r="B48" s="1143"/>
      <c r="C48" s="495" t="s">
        <v>2676</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6"/>
      <c r="L48" s="1147"/>
      <c r="M48" s="1143"/>
      <c r="N48" s="1143"/>
      <c r="O48" s="1143"/>
    </row>
    <row r="49" spans="1:17" s="500"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0" t="s">
        <v>2677</v>
      </c>
      <c r="B51" s="756"/>
      <c r="C51" s="761"/>
      <c r="D51" s="761"/>
      <c r="E51" s="761"/>
      <c r="F51" s="762"/>
      <c r="G51" s="762"/>
      <c r="H51" s="761"/>
      <c r="I51" s="761"/>
      <c r="J51" s="761"/>
      <c r="K51" s="1158"/>
      <c r="L51" s="1159"/>
      <c r="M51" s="1157"/>
      <c r="N51" s="1157"/>
      <c r="O51" s="1157"/>
      <c r="P51" s="501"/>
      <c r="Q51" s="502"/>
    </row>
    <row r="52" spans="1:17" s="506" customFormat="1" ht="15">
      <c r="A52" s="503" t="s">
        <v>2551</v>
      </c>
      <c r="B52" s="504"/>
      <c r="C52" s="1572" t="str">
        <f>YEAR(C7)&amp;"-"&amp;MONTH(C7)</f>
        <v>2017-11</v>
      </c>
      <c r="D52" s="1573">
        <f>EDATE(C52,-1)</f>
        <v>43009</v>
      </c>
      <c r="E52" s="1573">
        <f t="shared" ref="E52:O52" si="16">EDATE(D52,-1)</f>
        <v>42979</v>
      </c>
      <c r="F52" s="1573">
        <f t="shared" si="16"/>
        <v>42948</v>
      </c>
      <c r="G52" s="1573">
        <f t="shared" si="16"/>
        <v>42917</v>
      </c>
      <c r="H52" s="1573">
        <f t="shared" si="16"/>
        <v>42887</v>
      </c>
      <c r="I52" s="1573">
        <f t="shared" si="16"/>
        <v>42856</v>
      </c>
      <c r="J52" s="1573">
        <f t="shared" si="16"/>
        <v>42826</v>
      </c>
      <c r="K52" s="1573">
        <f t="shared" si="16"/>
        <v>42795</v>
      </c>
      <c r="L52" s="1573">
        <f t="shared" si="16"/>
        <v>42767</v>
      </c>
      <c r="M52" s="1573">
        <f t="shared" si="16"/>
        <v>42736</v>
      </c>
      <c r="N52" s="1573">
        <f t="shared" si="16"/>
        <v>42705</v>
      </c>
      <c r="O52" s="1573">
        <f t="shared" si="16"/>
        <v>42675</v>
      </c>
      <c r="P52" s="505"/>
    </row>
    <row r="53" spans="1:17" s="115" customFormat="1" ht="15">
      <c r="A53" s="507"/>
      <c r="B53" s="508"/>
      <c r="C53" s="1571">
        <v>100</v>
      </c>
      <c r="D53" s="510"/>
      <c r="E53" s="510"/>
      <c r="F53" s="510"/>
      <c r="G53" s="510"/>
      <c r="H53" s="510"/>
      <c r="I53" s="510"/>
      <c r="J53" s="510"/>
      <c r="K53" s="510"/>
      <c r="L53" s="510"/>
      <c r="M53" s="511"/>
      <c r="N53" s="510"/>
      <c r="O53" s="512"/>
      <c r="P53" s="502"/>
    </row>
    <row r="54" spans="1:17" s="115" customFormat="1" ht="15.75" thickBot="1">
      <c r="A54" s="513" t="s">
        <v>2588</v>
      </c>
      <c r="B54" s="514"/>
      <c r="C54" s="515"/>
      <c r="D54" s="516"/>
      <c r="E54" s="516"/>
      <c r="F54" s="516"/>
      <c r="G54" s="516"/>
      <c r="H54" s="516"/>
      <c r="I54" s="516"/>
      <c r="J54" s="516"/>
      <c r="K54" s="516"/>
      <c r="L54" s="516"/>
      <c r="M54" s="517"/>
      <c r="N54" s="516"/>
      <c r="O54" s="518"/>
      <c r="P54" s="502"/>
      <c r="Q54" s="502"/>
    </row>
    <row r="55" spans="1:17" s="115" customFormat="1" ht="15">
      <c r="A55" s="519" t="s">
        <v>2553</v>
      </c>
      <c r="B55" s="508"/>
      <c r="C55" s="520" t="s">
        <v>2655</v>
      </c>
      <c r="D55" s="521"/>
      <c r="E55" s="521"/>
      <c r="F55" s="521"/>
      <c r="G55" s="521"/>
      <c r="H55" s="521"/>
      <c r="I55" s="521"/>
      <c r="J55" s="521"/>
      <c r="K55" s="521"/>
      <c r="L55" s="522"/>
      <c r="M55" s="523"/>
      <c r="N55" s="1149"/>
      <c r="O55" s="1149"/>
      <c r="P55" s="524"/>
      <c r="Q55" s="502"/>
    </row>
    <row r="56" spans="1:17" s="115" customFormat="1" ht="15.75" thickBot="1">
      <c r="A56" s="519"/>
      <c r="B56" s="508"/>
      <c r="C56" s="637">
        <v>100</v>
      </c>
      <c r="D56" s="510"/>
      <c r="E56" s="510"/>
      <c r="F56" s="510"/>
      <c r="G56" s="510"/>
      <c r="H56" s="510"/>
      <c r="I56" s="510"/>
      <c r="J56" s="510"/>
      <c r="K56" s="510"/>
      <c r="L56" s="510"/>
      <c r="M56" s="512"/>
      <c r="N56" s="1149"/>
      <c r="O56" s="1149"/>
      <c r="P56" s="502"/>
      <c r="Q56" s="502"/>
    </row>
    <row r="57" spans="1:17">
      <c r="A57" s="525" t="s">
        <v>2591</v>
      </c>
      <c r="B57" s="526" t="s">
        <v>2557</v>
      </c>
      <c r="C57" s="527">
        <f>C9</f>
        <v>0</v>
      </c>
      <c r="D57" s="528"/>
      <c r="E57" s="528"/>
      <c r="F57" s="528"/>
      <c r="G57" s="528"/>
      <c r="H57" s="528"/>
      <c r="I57" s="528"/>
      <c r="J57" s="528"/>
      <c r="K57" s="529"/>
      <c r="L57" s="530"/>
      <c r="M57" s="531"/>
      <c r="N57" s="1150"/>
      <c r="O57" s="1150"/>
      <c r="P57" s="45"/>
      <c r="Q57" s="502"/>
    </row>
    <row r="58" spans="1:17" ht="15.75" thickBot="1">
      <c r="A58" s="532"/>
      <c r="B58" s="533"/>
      <c r="C58" s="534">
        <v>100</v>
      </c>
      <c r="D58" s="534"/>
      <c r="E58" s="534"/>
      <c r="F58" s="534"/>
      <c r="G58" s="534"/>
      <c r="H58" s="534"/>
      <c r="I58" s="534"/>
      <c r="J58" s="534"/>
      <c r="K58" s="534"/>
      <c r="L58" s="534"/>
      <c r="M58" s="535"/>
      <c r="N58" s="1151"/>
      <c r="O58" s="1151"/>
      <c r="P58" s="45"/>
      <c r="Q58" s="502"/>
    </row>
    <row r="59" spans="1:17" ht="27.75" thickTop="1">
      <c r="A59" s="532"/>
      <c r="B59" s="536" t="s">
        <v>2560</v>
      </c>
      <c r="C59" s="537" t="s">
        <v>2592</v>
      </c>
      <c r="D59" s="537" t="s">
        <v>2593</v>
      </c>
      <c r="E59" s="537" t="s">
        <v>2594</v>
      </c>
      <c r="F59" s="537" t="s">
        <v>2595</v>
      </c>
      <c r="G59" s="537" t="s">
        <v>2596</v>
      </c>
      <c r="H59" s="537" t="s">
        <v>2597</v>
      </c>
      <c r="I59" s="537" t="s">
        <v>2598</v>
      </c>
      <c r="J59" s="537"/>
      <c r="K59" s="538"/>
      <c r="L59" s="539"/>
      <c r="M59" s="540"/>
      <c r="N59" s="1150"/>
      <c r="O59" s="1150"/>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1"/>
      <c r="O60" s="1151"/>
      <c r="P60" s="45"/>
      <c r="Q60" s="502"/>
    </row>
    <row r="61" spans="1:17" ht="15.75" thickTop="1">
      <c r="A61" s="532"/>
      <c r="B61" s="544" t="s">
        <v>2561</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1"/>
      <c r="O61" s="1151"/>
      <c r="P61" s="45"/>
      <c r="Q61" s="502"/>
    </row>
    <row r="62" spans="1:17" ht="15">
      <c r="A62" s="532"/>
      <c r="B62" s="546"/>
      <c r="C62" s="547"/>
      <c r="D62" s="547"/>
      <c r="E62" s="547"/>
      <c r="F62" s="547"/>
      <c r="G62" s="547"/>
      <c r="H62" s="547"/>
      <c r="I62" s="547"/>
      <c r="J62" s="547"/>
      <c r="K62" s="548"/>
      <c r="L62" s="549"/>
      <c r="M62" s="550"/>
      <c r="N62" s="1150"/>
      <c r="O62" s="1150"/>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1"/>
      <c r="O63" s="1151"/>
      <c r="P63" s="45"/>
      <c r="Q63" s="502"/>
    </row>
    <row r="64" spans="1:17" s="469" customFormat="1" ht="15.75" thickTop="1">
      <c r="A64" s="551"/>
      <c r="B64" s="536">
        <f>B12</f>
        <v>111</v>
      </c>
      <c r="C64" s="552"/>
      <c r="D64" s="552"/>
      <c r="E64" s="552"/>
      <c r="F64" s="552"/>
      <c r="G64" s="552"/>
      <c r="H64" s="553"/>
      <c r="I64" s="553"/>
      <c r="J64" s="553"/>
      <c r="K64" s="553"/>
      <c r="L64" s="554"/>
      <c r="M64" s="555"/>
      <c r="N64" s="1152"/>
      <c r="O64" s="1152"/>
      <c r="P64" s="556"/>
      <c r="Q64" s="557"/>
    </row>
    <row r="65" spans="1:17" s="469" customFormat="1" ht="15.75" thickBot="1">
      <c r="A65" s="551"/>
      <c r="B65" s="541"/>
      <c r="C65" s="558"/>
      <c r="D65" s="534"/>
      <c r="E65" s="534"/>
      <c r="F65" s="534"/>
      <c r="G65" s="534"/>
      <c r="H65" s="534"/>
      <c r="I65" s="534"/>
      <c r="J65" s="534"/>
      <c r="K65" s="534"/>
      <c r="L65" s="534"/>
      <c r="M65" s="535"/>
      <c r="N65" s="1151"/>
      <c r="O65" s="1151"/>
      <c r="P65" s="556"/>
      <c r="Q65" s="557"/>
    </row>
    <row r="66" spans="1:17" s="469" customFormat="1" ht="15.75" thickTop="1">
      <c r="A66" s="551"/>
      <c r="B66" s="536">
        <f>B13</f>
        <v>111</v>
      </c>
      <c r="C66" s="552"/>
      <c r="D66" s="552"/>
      <c r="E66" s="552"/>
      <c r="F66" s="552"/>
      <c r="G66" s="552"/>
      <c r="H66" s="553"/>
      <c r="I66" s="553"/>
      <c r="J66" s="553"/>
      <c r="K66" s="553"/>
      <c r="L66" s="554"/>
      <c r="M66" s="555"/>
      <c r="N66" s="1152"/>
      <c r="O66" s="1152"/>
      <c r="P66" s="468"/>
      <c r="Q66" s="559"/>
    </row>
    <row r="67" spans="1:17" s="469" customFormat="1" ht="15.75" thickBot="1">
      <c r="A67" s="551"/>
      <c r="B67" s="541"/>
      <c r="C67" s="558"/>
      <c r="D67" s="534"/>
      <c r="E67" s="534"/>
      <c r="F67" s="534"/>
      <c r="G67" s="558"/>
      <c r="H67" s="560"/>
      <c r="I67" s="560"/>
      <c r="J67" s="560"/>
      <c r="K67" s="560"/>
      <c r="L67" s="560"/>
      <c r="M67" s="561"/>
      <c r="N67" s="1152"/>
      <c r="O67" s="1152"/>
      <c r="P67" s="556"/>
      <c r="Q67" s="557"/>
    </row>
    <row r="68" spans="1:17" s="469" customFormat="1" ht="15.75" thickTop="1">
      <c r="A68" s="551"/>
      <c r="B68" s="544">
        <f>B14</f>
        <v>111</v>
      </c>
      <c r="C68" s="521"/>
      <c r="D68" s="521"/>
      <c r="E68" s="521"/>
      <c r="F68" s="521"/>
      <c r="G68" s="521"/>
      <c r="H68" s="562"/>
      <c r="I68" s="562"/>
      <c r="J68" s="562"/>
      <c r="K68" s="562"/>
      <c r="L68" s="563"/>
      <c r="M68" s="564"/>
      <c r="N68" s="1152"/>
      <c r="O68" s="1152"/>
      <c r="P68" s="565"/>
      <c r="Q68" s="557"/>
    </row>
    <row r="69" spans="1:17" s="469" customFormat="1" ht="15.75" thickBot="1">
      <c r="A69" s="566"/>
      <c r="B69" s="567"/>
      <c r="C69" s="568"/>
      <c r="D69" s="568"/>
      <c r="E69" s="568"/>
      <c r="F69" s="568"/>
      <c r="G69" s="568"/>
      <c r="H69" s="569"/>
      <c r="I69" s="569"/>
      <c r="J69" s="569"/>
      <c r="K69" s="569"/>
      <c r="L69" s="569"/>
      <c r="M69" s="570"/>
      <c r="N69" s="1152"/>
      <c r="O69" s="1152"/>
      <c r="P69" s="556"/>
      <c r="Q69" s="557"/>
    </row>
    <row r="70" spans="1:17">
      <c r="A70" s="525" t="s">
        <v>2562</v>
      </c>
      <c r="B70" s="526" t="s">
        <v>2708</v>
      </c>
      <c r="C70" s="571" t="s">
        <v>2600</v>
      </c>
      <c r="D70" s="571" t="s">
        <v>2601</v>
      </c>
      <c r="E70" s="571" t="s">
        <v>2602</v>
      </c>
      <c r="F70" s="571" t="s">
        <v>2603</v>
      </c>
      <c r="G70" s="571" t="s">
        <v>2604</v>
      </c>
      <c r="H70" s="527"/>
      <c r="I70" s="527"/>
      <c r="J70" s="527"/>
      <c r="K70" s="572"/>
      <c r="L70" s="573"/>
      <c r="M70" s="574"/>
      <c r="N70" s="1150"/>
      <c r="O70" s="1150"/>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1"/>
      <c r="O71" s="1151"/>
      <c r="P71" s="45"/>
      <c r="Q71" s="502"/>
    </row>
    <row r="72" spans="1:17" ht="15.75" thickTop="1">
      <c r="A72" s="532"/>
      <c r="B72" s="536" t="s">
        <v>2605</v>
      </c>
      <c r="C72" s="576" t="s">
        <v>2600</v>
      </c>
      <c r="D72" s="576" t="s">
        <v>2601</v>
      </c>
      <c r="E72" s="576" t="s">
        <v>2602</v>
      </c>
      <c r="F72" s="576" t="s">
        <v>2603</v>
      </c>
      <c r="G72" s="576" t="s">
        <v>2604</v>
      </c>
      <c r="H72" s="537"/>
      <c r="I72" s="537"/>
      <c r="J72" s="537"/>
      <c r="K72" s="538"/>
      <c r="L72" s="539"/>
      <c r="M72" s="540"/>
      <c r="N72" s="1150"/>
      <c r="O72" s="1150"/>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1"/>
      <c r="O73" s="1151"/>
      <c r="P73" s="45"/>
      <c r="Q73" s="502"/>
    </row>
    <row r="74" spans="1:17" ht="15.75" thickTop="1">
      <c r="A74" s="532"/>
      <c r="B74" s="536" t="s">
        <v>2606</v>
      </c>
      <c r="C74" s="576" t="s">
        <v>2600</v>
      </c>
      <c r="D74" s="576" t="s">
        <v>2601</v>
      </c>
      <c r="E74" s="576" t="s">
        <v>2602</v>
      </c>
      <c r="F74" s="576" t="s">
        <v>2603</v>
      </c>
      <c r="G74" s="576" t="s">
        <v>2604</v>
      </c>
      <c r="H74" s="537"/>
      <c r="I74" s="537"/>
      <c r="J74" s="537"/>
      <c r="K74" s="538"/>
      <c r="L74" s="539"/>
      <c r="M74" s="540"/>
      <c r="N74" s="1150"/>
      <c r="O74" s="1150"/>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1"/>
      <c r="O75" s="1151"/>
      <c r="P75" s="45"/>
      <c r="Q75" s="502"/>
    </row>
    <row r="76" spans="1:17" ht="15.75" thickTop="1">
      <c r="A76" s="532"/>
      <c r="B76" s="544" t="s">
        <v>2692</v>
      </c>
      <c r="C76" s="658" t="s">
        <v>2678</v>
      </c>
      <c r="D76" s="658" t="s">
        <v>2679</v>
      </c>
      <c r="E76" s="658" t="s">
        <v>2680</v>
      </c>
      <c r="F76" s="658" t="s">
        <v>2681</v>
      </c>
      <c r="G76" s="658" t="s">
        <v>2682</v>
      </c>
      <c r="H76" s="537"/>
      <c r="I76" s="537"/>
      <c r="J76" s="537"/>
      <c r="K76" s="537"/>
      <c r="L76" s="537"/>
      <c r="M76" s="1380"/>
      <c r="N76" s="1151"/>
      <c r="O76" s="1151"/>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1"/>
      <c r="O77" s="1151"/>
      <c r="P77" s="45"/>
      <c r="Q77" s="502"/>
    </row>
    <row r="78" spans="1:17" ht="15.75" thickTop="1">
      <c r="A78" s="532"/>
      <c r="B78" s="536" t="s">
        <v>2701</v>
      </c>
      <c r="C78" s="576" t="s">
        <v>2600</v>
      </c>
      <c r="D78" s="576" t="s">
        <v>2601</v>
      </c>
      <c r="E78" s="576" t="s">
        <v>2602</v>
      </c>
      <c r="F78" s="576" t="s">
        <v>2603</v>
      </c>
      <c r="G78" s="576" t="s">
        <v>2604</v>
      </c>
      <c r="H78" s="537"/>
      <c r="I78" s="537"/>
      <c r="J78" s="537"/>
      <c r="K78" s="538"/>
      <c r="L78" s="539"/>
      <c r="M78" s="540"/>
      <c r="N78" s="1150"/>
      <c r="O78" s="1150"/>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1"/>
      <c r="O79" s="1151"/>
      <c r="P79" s="45"/>
      <c r="Q79" s="502"/>
    </row>
    <row r="80" spans="1:17" s="115" customFormat="1" ht="15.75" thickTop="1">
      <c r="A80" s="577"/>
      <c r="B80" s="536">
        <f>B25</f>
        <v>111</v>
      </c>
      <c r="C80" s="552"/>
      <c r="D80" s="552"/>
      <c r="E80" s="552"/>
      <c r="F80" s="552"/>
      <c r="G80" s="552"/>
      <c r="H80" s="552"/>
      <c r="I80" s="552"/>
      <c r="J80" s="552"/>
      <c r="K80" s="552"/>
      <c r="L80" s="578"/>
      <c r="M80" s="579"/>
      <c r="N80" s="1149"/>
      <c r="O80" s="1149"/>
      <c r="P80" s="45"/>
      <c r="Q80" s="502"/>
    </row>
    <row r="81" spans="1:17" s="115" customFormat="1" ht="15.75" thickBot="1">
      <c r="A81" s="577"/>
      <c r="B81" s="541"/>
      <c r="C81" s="558"/>
      <c r="D81" s="534"/>
      <c r="E81" s="534"/>
      <c r="F81" s="534"/>
      <c r="G81" s="534"/>
      <c r="H81" s="534"/>
      <c r="I81" s="534"/>
      <c r="J81" s="534"/>
      <c r="K81" s="534"/>
      <c r="L81" s="534"/>
      <c r="M81" s="535"/>
      <c r="N81" s="1151"/>
      <c r="O81" s="1151"/>
      <c r="P81" s="45"/>
      <c r="Q81" s="502"/>
    </row>
    <row r="82" spans="1:17" s="115" customFormat="1" ht="15.75" thickTop="1">
      <c r="A82" s="577"/>
      <c r="B82" s="536">
        <f>B26</f>
        <v>111</v>
      </c>
      <c r="C82" s="552"/>
      <c r="D82" s="552"/>
      <c r="E82" s="552"/>
      <c r="F82" s="552"/>
      <c r="G82" s="552"/>
      <c r="H82" s="552"/>
      <c r="I82" s="552"/>
      <c r="J82" s="552"/>
      <c r="K82" s="552"/>
      <c r="L82" s="578"/>
      <c r="M82" s="579"/>
      <c r="N82" s="1149"/>
      <c r="O82" s="1149"/>
      <c r="P82" s="45"/>
      <c r="Q82" s="502"/>
    </row>
    <row r="83" spans="1:17" s="115" customFormat="1" ht="15.75" thickBot="1">
      <c r="A83" s="577"/>
      <c r="B83" s="541"/>
      <c r="C83" s="558"/>
      <c r="D83" s="534"/>
      <c r="E83" s="534"/>
      <c r="F83" s="534"/>
      <c r="G83" s="534"/>
      <c r="H83" s="534"/>
      <c r="I83" s="534"/>
      <c r="J83" s="534"/>
      <c r="K83" s="534"/>
      <c r="L83" s="534"/>
      <c r="M83" s="535"/>
      <c r="N83" s="1151"/>
      <c r="O83" s="1151"/>
      <c r="P83" s="45"/>
      <c r="Q83" s="502"/>
    </row>
    <row r="84" spans="1:17" s="469" customFormat="1" ht="15.75" thickTop="1">
      <c r="A84" s="551"/>
      <c r="B84" s="536">
        <f>B27</f>
        <v>111</v>
      </c>
      <c r="C84" s="552"/>
      <c r="D84" s="552"/>
      <c r="E84" s="552"/>
      <c r="F84" s="552"/>
      <c r="G84" s="552"/>
      <c r="H84" s="552"/>
      <c r="I84" s="552"/>
      <c r="J84" s="552"/>
      <c r="K84" s="552"/>
      <c r="L84" s="578"/>
      <c r="M84" s="579"/>
      <c r="N84" s="1152"/>
      <c r="O84" s="1152"/>
      <c r="P84" s="556"/>
      <c r="Q84" s="557"/>
    </row>
    <row r="85" spans="1:17" s="469" customFormat="1" ht="15.75" thickBot="1">
      <c r="A85" s="551"/>
      <c r="B85" s="541"/>
      <c r="C85" s="558"/>
      <c r="D85" s="534"/>
      <c r="E85" s="534"/>
      <c r="F85" s="534"/>
      <c r="G85" s="534"/>
      <c r="H85" s="534"/>
      <c r="I85" s="534"/>
      <c r="J85" s="534"/>
      <c r="K85" s="534"/>
      <c r="L85" s="534"/>
      <c r="M85" s="535"/>
      <c r="N85" s="1152"/>
      <c r="O85" s="1152"/>
      <c r="P85" s="556"/>
      <c r="Q85" s="557"/>
    </row>
    <row r="86" spans="1:17" ht="15.75" thickTop="1">
      <c r="A86" s="532"/>
      <c r="B86" s="544">
        <f>B28</f>
        <v>111</v>
      </c>
      <c r="C86" s="521"/>
      <c r="D86" s="521"/>
      <c r="E86" s="521"/>
      <c r="F86" s="521"/>
      <c r="G86" s="585"/>
      <c r="H86" s="585"/>
      <c r="I86" s="585"/>
      <c r="J86" s="585"/>
      <c r="K86" s="586"/>
      <c r="L86" s="587"/>
      <c r="M86" s="588"/>
      <c r="N86" s="1150"/>
      <c r="O86" s="1150"/>
      <c r="P86" s="45"/>
      <c r="Q86" s="502"/>
    </row>
    <row r="87" spans="1:17" ht="15.75" thickBot="1">
      <c r="A87" s="2628"/>
      <c r="B87" s="567"/>
      <c r="C87" s="568"/>
      <c r="D87" s="568"/>
      <c r="E87" s="568"/>
      <c r="F87" s="568"/>
      <c r="G87" s="589"/>
      <c r="H87" s="589"/>
      <c r="I87" s="589"/>
      <c r="J87" s="589"/>
      <c r="K87" s="589"/>
      <c r="L87" s="589"/>
      <c r="M87" s="590"/>
      <c r="N87" s="1151"/>
      <c r="O87" s="1151"/>
      <c r="P87" s="45"/>
      <c r="Q87" s="502"/>
    </row>
    <row r="88" spans="1:17">
      <c r="A88" s="525" t="s">
        <v>2566</v>
      </c>
      <c r="B88" s="526" t="s">
        <v>2615</v>
      </c>
      <c r="C88" s="528"/>
      <c r="D88" s="528"/>
      <c r="E88" s="528"/>
      <c r="F88" s="528"/>
      <c r="G88" s="528"/>
      <c r="H88" s="528"/>
      <c r="I88" s="528"/>
      <c r="J88" s="528"/>
      <c r="K88" s="529"/>
      <c r="L88" s="530"/>
      <c r="M88" s="531"/>
      <c r="N88" s="1150"/>
      <c r="O88" s="1150"/>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1"/>
      <c r="O89" s="1151"/>
      <c r="P89" s="45"/>
      <c r="Q89" s="502"/>
    </row>
    <row r="90" spans="1:17" ht="15.75" thickTop="1">
      <c r="A90" s="532"/>
      <c r="B90" s="536" t="s">
        <v>2616</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9"/>
      <c r="O90" s="1149"/>
      <c r="P90" s="45"/>
      <c r="Q90" s="502"/>
    </row>
    <row r="91" spans="1:17" s="469" customFormat="1">
      <c r="A91" s="591"/>
      <c r="B91" s="592"/>
      <c r="C91" s="593"/>
      <c r="D91" s="593"/>
      <c r="E91" s="593"/>
      <c r="F91" s="593"/>
      <c r="G91" s="593"/>
      <c r="H91" s="593"/>
      <c r="I91" s="593"/>
      <c r="J91" s="594"/>
      <c r="K91" s="594"/>
      <c r="L91" s="595"/>
      <c r="M91" s="596"/>
      <c r="N91" s="1152"/>
      <c r="O91" s="1152"/>
      <c r="P91" s="556"/>
      <c r="Q91" s="557"/>
    </row>
    <row r="92" spans="1:17" s="469" customFormat="1" ht="15.75" thickBot="1">
      <c r="A92" s="551"/>
      <c r="B92" s="541"/>
      <c r="C92" s="558"/>
      <c r="D92" s="534"/>
      <c r="E92" s="534"/>
      <c r="F92" s="534"/>
      <c r="G92" s="534"/>
      <c r="H92" s="534"/>
      <c r="I92" s="534"/>
      <c r="J92" s="534"/>
      <c r="K92" s="534"/>
      <c r="L92" s="534"/>
      <c r="M92" s="535"/>
      <c r="N92" s="1151"/>
      <c r="O92" s="1151"/>
      <c r="P92" s="556"/>
      <c r="Q92" s="557"/>
    </row>
    <row r="93" spans="1:17" ht="15" thickTop="1">
      <c r="A93" s="597"/>
      <c r="B93" s="536" t="s">
        <v>2617</v>
      </c>
      <c r="C93" s="552"/>
      <c r="D93" s="552"/>
      <c r="E93" s="581"/>
      <c r="F93" s="581"/>
      <c r="G93" s="581"/>
      <c r="H93" s="581"/>
      <c r="I93" s="581"/>
      <c r="J93" s="581"/>
      <c r="K93" s="582"/>
      <c r="L93" s="583"/>
      <c r="M93" s="584"/>
      <c r="N93" s="1150"/>
      <c r="O93" s="1150"/>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1"/>
      <c r="O94" s="1151"/>
      <c r="P94" s="45"/>
      <c r="Q94" s="502"/>
    </row>
    <row r="95" spans="1:17" ht="15" thickTop="1">
      <c r="A95" s="597"/>
      <c r="B95" s="536" t="s">
        <v>2619</v>
      </c>
      <c r="C95" s="552"/>
      <c r="D95" s="552"/>
      <c r="E95" s="552"/>
      <c r="F95" s="581"/>
      <c r="G95" s="581"/>
      <c r="H95" s="581"/>
      <c r="I95" s="581"/>
      <c r="J95" s="581"/>
      <c r="K95" s="582"/>
      <c r="L95" s="583"/>
      <c r="M95" s="584"/>
      <c r="N95" s="1150"/>
      <c r="O95" s="1150"/>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1"/>
      <c r="O96" s="1151"/>
      <c r="P96" s="45"/>
      <c r="Q96" s="502"/>
    </row>
    <row r="97" spans="1:17" ht="15" thickTop="1">
      <c r="A97" s="597"/>
      <c r="B97" s="536" t="s">
        <v>2002</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0"/>
      <c r="O97" s="1150"/>
      <c r="P97" s="45"/>
      <c r="Q97" s="502"/>
    </row>
    <row r="98" spans="1:17">
      <c r="A98" s="597"/>
      <c r="B98" s="544"/>
      <c r="C98" s="601">
        <v>0.5</v>
      </c>
      <c r="D98" s="601">
        <v>0.6</v>
      </c>
      <c r="E98" s="601">
        <v>0.7</v>
      </c>
      <c r="F98" s="601">
        <v>0.8</v>
      </c>
      <c r="G98" s="601">
        <v>0.9</v>
      </c>
      <c r="H98" s="601">
        <v>1.0001</v>
      </c>
      <c r="I98" s="621"/>
      <c r="J98" s="621"/>
      <c r="K98" s="622"/>
      <c r="L98" s="623"/>
      <c r="M98" s="624"/>
      <c r="N98" s="1150"/>
      <c r="O98" s="1150"/>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1"/>
      <c r="O99" s="1151"/>
      <c r="P99" s="45"/>
      <c r="Q99" s="502"/>
    </row>
    <row r="100" spans="1:17" s="469" customFormat="1" ht="15" thickTop="1">
      <c r="A100" s="591"/>
      <c r="B100" s="536" t="s">
        <v>2620</v>
      </c>
      <c r="C100" s="552"/>
      <c r="D100" s="552"/>
      <c r="E100" s="552"/>
      <c r="F100" s="552"/>
      <c r="G100" s="552"/>
      <c r="H100" s="581"/>
      <c r="I100" s="581"/>
      <c r="J100" s="581"/>
      <c r="K100" s="582"/>
      <c r="L100" s="583"/>
      <c r="M100" s="584"/>
      <c r="N100" s="1152"/>
      <c r="O100" s="1152"/>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2"/>
      <c r="O101" s="1152"/>
      <c r="P101" s="556"/>
      <c r="Q101" s="557"/>
    </row>
    <row r="102" spans="1:17" ht="15" thickTop="1">
      <c r="A102" s="597"/>
      <c r="B102" s="536" t="s">
        <v>2621</v>
      </c>
      <c r="C102" s="552"/>
      <c r="D102" s="552"/>
      <c r="E102" s="552"/>
      <c r="F102" s="552"/>
      <c r="G102" s="552"/>
      <c r="H102" s="581"/>
      <c r="I102" s="581"/>
      <c r="J102" s="581"/>
      <c r="K102" s="582"/>
      <c r="L102" s="583"/>
      <c r="M102" s="584"/>
      <c r="N102" s="1150"/>
      <c r="O102" s="1150"/>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1"/>
      <c r="O103" s="1151"/>
      <c r="P103" s="45"/>
      <c r="Q103" s="502"/>
    </row>
    <row r="104" spans="1:17" ht="15" thickTop="1">
      <c r="A104" s="597"/>
      <c r="B104" s="536" t="s">
        <v>2623</v>
      </c>
      <c r="C104" s="552"/>
      <c r="D104" s="552"/>
      <c r="E104" s="552"/>
      <c r="F104" s="552"/>
      <c r="G104" s="552"/>
      <c r="H104" s="581"/>
      <c r="I104" s="581"/>
      <c r="J104" s="581"/>
      <c r="K104" s="582"/>
      <c r="L104" s="583"/>
      <c r="M104" s="584"/>
      <c r="N104" s="1150"/>
      <c r="O104" s="1150"/>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1"/>
      <c r="O105" s="1151"/>
      <c r="P105" s="45"/>
      <c r="Q105" s="502"/>
    </row>
    <row r="106" spans="1:17" ht="15" thickTop="1">
      <c r="A106" s="597"/>
      <c r="B106" s="634" t="s">
        <v>2709</v>
      </c>
      <c r="C106" s="576" t="s">
        <v>2600</v>
      </c>
      <c r="D106" s="576" t="s">
        <v>2601</v>
      </c>
      <c r="E106" s="576" t="s">
        <v>2602</v>
      </c>
      <c r="F106" s="576" t="s">
        <v>2603</v>
      </c>
      <c r="G106" s="576" t="s">
        <v>2604</v>
      </c>
      <c r="H106" s="537"/>
      <c r="I106" s="537"/>
      <c r="J106" s="537"/>
      <c r="K106" s="538"/>
      <c r="L106" s="539"/>
      <c r="M106" s="540"/>
      <c r="N106" s="1151"/>
      <c r="O106" s="1151"/>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1"/>
      <c r="O107" s="1151"/>
      <c r="P107" s="45"/>
      <c r="Q107" s="502"/>
    </row>
    <row r="108" spans="1:17" s="469" customFormat="1" ht="15" thickTop="1">
      <c r="A108" s="591"/>
      <c r="B108" s="536">
        <f>B38</f>
        <v>111</v>
      </c>
      <c r="C108" s="552"/>
      <c r="D108" s="552"/>
      <c r="E108" s="552"/>
      <c r="F108" s="552"/>
      <c r="G108" s="552"/>
      <c r="H108" s="553"/>
      <c r="I108" s="553"/>
      <c r="J108" s="553"/>
      <c r="K108" s="553"/>
      <c r="L108" s="554"/>
      <c r="M108" s="555"/>
      <c r="N108" s="1152"/>
      <c r="O108" s="1152"/>
      <c r="P108" s="556"/>
      <c r="Q108" s="557"/>
    </row>
    <row r="109" spans="1:17" s="469" customFormat="1" ht="15.75" thickBot="1">
      <c r="A109" s="551"/>
      <c r="B109" s="533"/>
      <c r="C109" s="558"/>
      <c r="D109" s="534"/>
      <c r="E109" s="534"/>
      <c r="F109" s="534"/>
      <c r="G109" s="558"/>
      <c r="H109" s="560"/>
      <c r="I109" s="560"/>
      <c r="J109" s="560"/>
      <c r="K109" s="560"/>
      <c r="L109" s="560"/>
      <c r="M109" s="561"/>
      <c r="N109" s="1152"/>
      <c r="O109" s="1152"/>
      <c r="P109" s="556"/>
      <c r="Q109" s="557"/>
    </row>
    <row r="110" spans="1:17" ht="15" thickTop="1">
      <c r="A110" s="597"/>
      <c r="B110" s="536">
        <f>B39</f>
        <v>111</v>
      </c>
      <c r="C110" s="552"/>
      <c r="D110" s="552"/>
      <c r="E110" s="552"/>
      <c r="F110" s="552"/>
      <c r="G110" s="552"/>
      <c r="H110" s="553"/>
      <c r="I110" s="553"/>
      <c r="J110" s="553"/>
      <c r="K110" s="553"/>
      <c r="L110" s="554"/>
      <c r="M110" s="555"/>
      <c r="N110" s="1150"/>
      <c r="O110" s="1150"/>
      <c r="P110" s="45"/>
      <c r="Q110" s="502"/>
    </row>
    <row r="111" spans="1:17" ht="15.75" thickBot="1">
      <c r="A111" s="532"/>
      <c r="B111" s="541"/>
      <c r="C111" s="558"/>
      <c r="D111" s="534"/>
      <c r="E111" s="534"/>
      <c r="F111" s="534"/>
      <c r="G111" s="558"/>
      <c r="H111" s="560"/>
      <c r="I111" s="560"/>
      <c r="J111" s="560"/>
      <c r="K111" s="560"/>
      <c r="L111" s="560"/>
      <c r="M111" s="561"/>
      <c r="N111" s="1151"/>
      <c r="O111" s="1151"/>
      <c r="P111" s="45"/>
      <c r="Q111" s="502"/>
    </row>
    <row r="112" spans="1:17" ht="15" thickTop="1">
      <c r="A112" s="597"/>
      <c r="B112" s="544">
        <f>B40</f>
        <v>111</v>
      </c>
      <c r="C112" s="521"/>
      <c r="D112" s="521"/>
      <c r="E112" s="521"/>
      <c r="F112" s="521"/>
      <c r="G112" s="585"/>
      <c r="H112" s="585"/>
      <c r="I112" s="585"/>
      <c r="J112" s="585"/>
      <c r="K112" s="521"/>
      <c r="L112" s="522"/>
      <c r="M112" s="588"/>
      <c r="N112" s="1150"/>
      <c r="O112" s="1150"/>
      <c r="P112" s="45"/>
      <c r="Q112" s="502"/>
    </row>
    <row r="113" spans="1:17" ht="15.75" thickBot="1">
      <c r="A113" s="2628"/>
      <c r="B113" s="567"/>
      <c r="C113" s="568"/>
      <c r="D113" s="568"/>
      <c r="E113" s="568"/>
      <c r="F113" s="568"/>
      <c r="G113" s="589"/>
      <c r="H113" s="589"/>
      <c r="I113" s="589"/>
      <c r="J113" s="589"/>
      <c r="K113" s="589"/>
      <c r="L113" s="589"/>
      <c r="M113" s="590"/>
      <c r="N113" s="1151"/>
      <c r="O113" s="1151"/>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2710</v>
      </c>
      <c r="B1" s="1616"/>
      <c r="C1" s="1617" t="s">
        <v>2533</v>
      </c>
      <c r="D1" s="1618"/>
      <c r="E1" s="1619"/>
      <c r="F1" s="2578"/>
      <c r="G1" s="1620" t="s">
        <v>2646</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6" customFormat="1" ht="28.5" customHeight="1" thickTop="1">
      <c r="A2" s="1614" t="s">
        <v>2333</v>
      </c>
      <c r="B2" s="1415" t="e">
        <f ca="1">IF(C2="——",IF(B37="元/平方米",ROUND(C39*D3/10000,0),ROUND(F3*C39/10000,0)),IF(B37="元/平方米",ROUND(C39*D3/10000,0),ROUND(F3*C39/10000,0))-D2)</f>
        <v>#DIV/0!</v>
      </c>
      <c r="C2" s="2580"/>
      <c r="D2" s="1122" t="e">
        <f ca="1">SUMIF(INDIRECT("'"&amp;F2&amp;"'"&amp;"!A:A"),"承租人权益价值",INDIRECT("'"&amp;F2&amp;"'"&amp;"!c:c"))</f>
        <v>#REF!</v>
      </c>
      <c r="E2" s="2581" t="s">
        <v>2334</v>
      </c>
      <c r="F2" s="2582"/>
      <c r="G2" s="1123"/>
      <c r="H2" s="1123"/>
      <c r="I2" s="1123"/>
      <c r="J2" s="1123"/>
      <c r="K2" s="1125"/>
      <c r="L2" s="1126"/>
      <c r="M2" s="1127"/>
      <c r="N2" s="1127"/>
      <c r="O2" s="1127"/>
      <c r="P2" s="1416"/>
      <c r="Q2" s="765"/>
      <c r="R2" s="765"/>
      <c r="S2" s="765"/>
      <c r="T2" s="765"/>
      <c r="U2" s="765"/>
      <c r="V2" s="765"/>
      <c r="W2" s="765"/>
      <c r="X2" s="765"/>
      <c r="Y2" s="765"/>
      <c r="Z2" s="765"/>
      <c r="AA2" s="765"/>
      <c r="AB2" s="765"/>
      <c r="AC2" s="766"/>
    </row>
    <row r="3" spans="1:29" s="396" customFormat="1" ht="28.5" customHeight="1" thickBot="1">
      <c r="A3" s="245" t="s">
        <v>2335</v>
      </c>
      <c r="B3" s="607" t="e">
        <f ca="1">IF(AND(C2="——",B37="元/平方米"),C39,ROUND(B2*10000/D3,0))</f>
        <v>#DIV/0!</v>
      </c>
      <c r="C3" s="398" t="s">
        <v>2647</v>
      </c>
      <c r="D3" s="397">
        <f>SUMIF('数据-汇总表'!$C19:$C33,D1,'数据-汇总表'!$E19:$E33)</f>
        <v>0</v>
      </c>
      <c r="E3" s="398" t="s">
        <v>2711</v>
      </c>
      <c r="F3" s="397">
        <f>SUMIF('数据-取费表'!A5:A15,D1,'数据-取费表'!AH5:AH15)</f>
        <v>0</v>
      </c>
      <c r="G3" s="1123"/>
      <c r="H3" s="1123"/>
      <c r="I3" s="1123"/>
      <c r="J3" s="1123"/>
      <c r="K3" s="1125"/>
      <c r="L3" s="1126"/>
      <c r="M3" s="1127"/>
      <c r="N3" s="1127"/>
      <c r="O3" s="1127"/>
      <c r="P3" s="1416"/>
      <c r="Q3" s="765"/>
      <c r="R3" s="765"/>
      <c r="S3" s="765"/>
      <c r="T3" s="765"/>
      <c r="U3" s="765"/>
      <c r="V3" s="765"/>
      <c r="W3" s="765"/>
      <c r="X3" s="765"/>
      <c r="Y3" s="765"/>
      <c r="Z3" s="765"/>
      <c r="AA3" s="765"/>
      <c r="AB3" s="783"/>
      <c r="AC3" s="779"/>
    </row>
    <row r="4" spans="1:29" ht="15">
      <c r="A4" s="399" t="s">
        <v>2648</v>
      </c>
      <c r="B4" s="400"/>
      <c r="C4" s="3201" t="s">
        <v>2649</v>
      </c>
      <c r="D4" s="3202"/>
      <c r="E4" s="3203" t="s">
        <v>2650</v>
      </c>
      <c r="F4" s="3204"/>
      <c r="G4" s="3201" t="s">
        <v>2651</v>
      </c>
      <c r="H4" s="3202"/>
      <c r="I4" s="3201" t="s">
        <v>2652</v>
      </c>
      <c r="J4" s="3202"/>
      <c r="K4" s="608" t="s">
        <v>2653</v>
      </c>
      <c r="L4" s="1128"/>
      <c r="M4" s="1129"/>
      <c r="N4" s="1129"/>
      <c r="O4" s="1129"/>
      <c r="P4" s="3205" t="s">
        <v>2654</v>
      </c>
      <c r="Q4" s="3206"/>
      <c r="R4" s="3186" t="s">
        <v>2650</v>
      </c>
      <c r="S4" s="3187"/>
      <c r="T4" s="3186" t="s">
        <v>2651</v>
      </c>
      <c r="U4" s="3187"/>
      <c r="V4" s="3213" t="s">
        <v>2652</v>
      </c>
      <c r="W4" s="3213"/>
      <c r="X4" s="1810"/>
      <c r="Y4" s="3186" t="s">
        <v>2654</v>
      </c>
      <c r="Z4" s="3187"/>
      <c r="AA4" s="3181" t="s">
        <v>2650</v>
      </c>
      <c r="AB4" s="3182" t="s">
        <v>2651</v>
      </c>
      <c r="AC4" s="3181" t="s">
        <v>2652</v>
      </c>
    </row>
    <row r="5" spans="1:29" ht="15">
      <c r="A5" s="402"/>
      <c r="B5" s="403"/>
      <c r="C5" s="3192" t="s">
        <v>2545</v>
      </c>
      <c r="D5" s="3193"/>
      <c r="E5" s="3261" t="s">
        <v>2546</v>
      </c>
      <c r="F5" s="3191"/>
      <c r="G5" s="3192" t="s">
        <v>2547</v>
      </c>
      <c r="H5" s="3193"/>
      <c r="I5" s="3192" t="s">
        <v>2548</v>
      </c>
      <c r="J5" s="3193"/>
      <c r="K5" s="608"/>
      <c r="L5" s="1128"/>
      <c r="M5" s="1129"/>
      <c r="N5" s="1129"/>
      <c r="O5" s="1129"/>
      <c r="P5" s="3207"/>
      <c r="Q5" s="3208"/>
      <c r="R5" s="3188"/>
      <c r="S5" s="3189"/>
      <c r="T5" s="3188"/>
      <c r="U5" s="3189"/>
      <c r="V5" s="3213"/>
      <c r="W5" s="3213"/>
      <c r="X5" s="1810"/>
      <c r="Y5" s="3188"/>
      <c r="Z5" s="3189"/>
      <c r="AA5" s="3182"/>
      <c r="AB5" s="3182"/>
      <c r="AC5" s="3182"/>
    </row>
    <row r="6" spans="1:29" ht="15.75" thickBot="1">
      <c r="A6" s="404"/>
      <c r="B6" s="405"/>
      <c r="C6" s="3194" t="s">
        <v>2549</v>
      </c>
      <c r="D6" s="3195"/>
      <c r="E6" s="3262" t="s">
        <v>2549</v>
      </c>
      <c r="F6" s="3198"/>
      <c r="G6" s="3194" t="s">
        <v>2549</v>
      </c>
      <c r="H6" s="3195"/>
      <c r="I6" s="3194" t="s">
        <v>2549</v>
      </c>
      <c r="J6" s="3195"/>
      <c r="K6" s="608" t="s">
        <v>2550</v>
      </c>
      <c r="L6" s="1128"/>
      <c r="M6" s="1129"/>
      <c r="N6" s="1129"/>
      <c r="O6" s="1129"/>
      <c r="P6" s="3209"/>
      <c r="Q6" s="3210"/>
      <c r="R6" s="3188"/>
      <c r="S6" s="3189"/>
      <c r="T6" s="3211"/>
      <c r="U6" s="3212"/>
      <c r="V6" s="3213"/>
      <c r="W6" s="3213"/>
      <c r="X6" s="1810"/>
      <c r="Y6" s="3211"/>
      <c r="Z6" s="3212"/>
      <c r="AA6" s="3183"/>
      <c r="AB6" s="3183"/>
      <c r="AC6" s="3183"/>
    </row>
    <row r="7" spans="1:29" s="115" customFormat="1" ht="15.75" thickBot="1">
      <c r="A7" s="406" t="s">
        <v>2551</v>
      </c>
      <c r="B7" s="407"/>
      <c r="C7" s="408">
        <f>'数据-取费表'!B2</f>
        <v>43056</v>
      </c>
      <c r="D7" s="409">
        <v>100</v>
      </c>
      <c r="E7" s="410"/>
      <c r="F7" s="411">
        <f>SUMIF(48:48,YEAR(E7)&amp;"-"&amp;MONTH(E7),49:49)</f>
        <v>0</v>
      </c>
      <c r="G7" s="410"/>
      <c r="H7" s="409">
        <f>SUMIF(48:48,YEAR(G7)&amp;"-"&amp;MONTH(G7),49:49)</f>
        <v>0</v>
      </c>
      <c r="I7" s="410"/>
      <c r="J7" s="409">
        <f>SUMIF(48:48,YEAR(I7)&amp;"-"&amp;MONTH(I7),49:49)</f>
        <v>0</v>
      </c>
      <c r="K7" s="609"/>
      <c r="L7" s="1130"/>
      <c r="M7" s="1131"/>
      <c r="N7" s="1131"/>
      <c r="O7" s="1131"/>
      <c r="P7" s="3184" t="s">
        <v>2552</v>
      </c>
      <c r="Q7" s="3214"/>
      <c r="R7" s="767" t="s">
        <v>17</v>
      </c>
      <c r="S7" s="768">
        <f t="shared" ref="S7:S14" si="0">F7</f>
        <v>0</v>
      </c>
      <c r="T7" s="767" t="s">
        <v>17</v>
      </c>
      <c r="U7" s="768">
        <f t="shared" ref="U7:U14" si="1">H7</f>
        <v>0</v>
      </c>
      <c r="V7" s="767" t="s">
        <v>17</v>
      </c>
      <c r="W7" s="768">
        <f t="shared" ref="W7:W14" si="2">J7</f>
        <v>0</v>
      </c>
      <c r="X7" s="769"/>
      <c r="Y7" s="3184" t="s">
        <v>2552</v>
      </c>
      <c r="Z7" s="3185"/>
      <c r="AA7" s="770" t="e">
        <f>D7/F7</f>
        <v>#DIV/0!</v>
      </c>
      <c r="AB7" s="770" t="e">
        <f>D7/H7</f>
        <v>#DIV/0!</v>
      </c>
      <c r="AC7" s="770" t="e">
        <f>D7/J7</f>
        <v>#DIV/0!</v>
      </c>
    </row>
    <row r="8" spans="1:29" s="115" customFormat="1" ht="15.75" thickBot="1">
      <c r="A8" s="406" t="s">
        <v>2553</v>
      </c>
      <c r="B8" s="407"/>
      <c r="C8" s="412" t="s">
        <v>2655</v>
      </c>
      <c r="D8" s="409">
        <v>100</v>
      </c>
      <c r="E8" s="412"/>
      <c r="F8" s="411">
        <f>SUMIF(51:51,E8,52:52)-SUMIF(51:51,C8,52:52)+100</f>
        <v>0</v>
      </c>
      <c r="G8" s="412"/>
      <c r="H8" s="409">
        <f>SUMIF(51:51,G8,52:52)-SUMIF(51:51,C8,52:52)+100</f>
        <v>0</v>
      </c>
      <c r="I8" s="412"/>
      <c r="J8" s="409">
        <f>SUMIF(51:51,I8,52:52)-SUMIF(51:51,C8,52:52)+100</f>
        <v>0</v>
      </c>
      <c r="K8" s="609"/>
      <c r="L8" s="1130"/>
      <c r="M8" s="1131"/>
      <c r="N8" s="1131"/>
      <c r="O8" s="1131"/>
      <c r="P8" s="3184" t="s">
        <v>2555</v>
      </c>
      <c r="Q8" s="3185"/>
      <c r="R8" s="767" t="s">
        <v>17</v>
      </c>
      <c r="S8" s="768">
        <f t="shared" si="0"/>
        <v>0</v>
      </c>
      <c r="T8" s="767" t="s">
        <v>17</v>
      </c>
      <c r="U8" s="768">
        <f t="shared" si="1"/>
        <v>0</v>
      </c>
      <c r="V8" s="767" t="s">
        <v>17</v>
      </c>
      <c r="W8" s="768">
        <f t="shared" si="2"/>
        <v>0</v>
      </c>
      <c r="X8" s="769"/>
      <c r="Y8" s="3184" t="s">
        <v>2555</v>
      </c>
      <c r="Z8" s="3185"/>
      <c r="AA8" s="770" t="e">
        <f t="shared" ref="AA8:AA36" si="3">D8/F8</f>
        <v>#DIV/0!</v>
      </c>
      <c r="AB8" s="770" t="e">
        <f t="shared" ref="AB8:AB36" si="4">D8/H8</f>
        <v>#DIV/0!</v>
      </c>
      <c r="AC8" s="770" t="e">
        <f t="shared" ref="AC8:AC36" si="5">D8/J8</f>
        <v>#DIV/0!</v>
      </c>
    </row>
    <row r="9" spans="1:29" s="115" customFormat="1">
      <c r="A9" s="67" t="s">
        <v>2556</v>
      </c>
      <c r="B9" s="638" t="s">
        <v>2557</v>
      </c>
      <c r="C9" s="414"/>
      <c r="D9" s="132">
        <v>100</v>
      </c>
      <c r="E9" s="417"/>
      <c r="F9" s="132">
        <f>SUMIF(53:53,E9,54:54)-SUMIF(53:53,C9,54:54)+100</f>
        <v>100</v>
      </c>
      <c r="G9" s="415"/>
      <c r="H9" s="132">
        <f>SUMIF(53:53,G9,54:54)-SUMIF(53:53,C9,54:54)+100</f>
        <v>100</v>
      </c>
      <c r="I9" s="415"/>
      <c r="J9" s="132">
        <f>SUMIF(53:53,I9,54:54)-SUMIF(53:53,C9,54:54)+100</f>
        <v>100</v>
      </c>
      <c r="K9" s="609"/>
      <c r="L9" s="1130"/>
      <c r="M9" s="1131"/>
      <c r="N9" s="1131"/>
      <c r="O9" s="1131"/>
      <c r="P9" s="3200" t="s">
        <v>2558</v>
      </c>
      <c r="Q9" s="1792" t="str">
        <f t="shared" ref="Q9:Q14" si="6">B9</f>
        <v>用途</v>
      </c>
      <c r="R9" s="767" t="s">
        <v>17</v>
      </c>
      <c r="S9" s="768">
        <f t="shared" si="0"/>
        <v>100</v>
      </c>
      <c r="T9" s="767" t="s">
        <v>17</v>
      </c>
      <c r="U9" s="768">
        <f t="shared" si="1"/>
        <v>100</v>
      </c>
      <c r="V9" s="767" t="s">
        <v>17</v>
      </c>
      <c r="W9" s="768">
        <f t="shared" si="2"/>
        <v>100</v>
      </c>
      <c r="X9" s="769"/>
      <c r="Y9" s="3058" t="s">
        <v>2559</v>
      </c>
      <c r="Z9" s="54" t="str">
        <f t="shared" ref="Z9:Z14" si="7">Q9</f>
        <v>用途</v>
      </c>
      <c r="AA9" s="770">
        <f t="shared" si="3"/>
        <v>1</v>
      </c>
      <c r="AB9" s="770">
        <f t="shared" si="4"/>
        <v>1</v>
      </c>
      <c r="AC9" s="770">
        <f t="shared" si="5"/>
        <v>1</v>
      </c>
    </row>
    <row r="10" spans="1:29" s="425" customFormat="1" ht="27">
      <c r="A10" s="639"/>
      <c r="B10" s="640" t="s">
        <v>2560</v>
      </c>
      <c r="C10" s="421"/>
      <c r="D10" s="133">
        <v>100</v>
      </c>
      <c r="E10" s="421"/>
      <c r="F10" s="133">
        <f>SUMIF(55:55,E10,56:56)-SUMIF(55:55,C10,56:56)+100</f>
        <v>100</v>
      </c>
      <c r="G10" s="422"/>
      <c r="H10" s="133">
        <f>SUMIF(55:55,G10,56:56)-SUMIF(55:55,C10,56:56)+100</f>
        <v>100</v>
      </c>
      <c r="I10" s="421"/>
      <c r="J10" s="133">
        <f>SUMIF(55:55,I10,56:56)-SUMIF(55:55,C10,56:56)+100</f>
        <v>100</v>
      </c>
      <c r="K10" s="610"/>
      <c r="L10" s="1133"/>
      <c r="M10" s="1134"/>
      <c r="N10" s="1134"/>
      <c r="O10" s="1134"/>
      <c r="P10" s="3200"/>
      <c r="Q10" s="1792" t="str">
        <f t="shared" si="6"/>
        <v>土地使用年限（年）</v>
      </c>
      <c r="R10" s="767" t="s">
        <v>17</v>
      </c>
      <c r="S10" s="768">
        <f t="shared" si="0"/>
        <v>100</v>
      </c>
      <c r="T10" s="767" t="s">
        <v>17</v>
      </c>
      <c r="U10" s="768">
        <f t="shared" si="1"/>
        <v>100</v>
      </c>
      <c r="V10" s="767" t="s">
        <v>17</v>
      </c>
      <c r="W10" s="768">
        <f t="shared" si="2"/>
        <v>100</v>
      </c>
      <c r="X10" s="769"/>
      <c r="Y10" s="3058"/>
      <c r="Z10" s="54" t="str">
        <f t="shared" si="7"/>
        <v>土地使用年限（年）</v>
      </c>
      <c r="AA10" s="770">
        <f t="shared" si="3"/>
        <v>1</v>
      </c>
      <c r="AB10" s="770">
        <f t="shared" si="4"/>
        <v>1</v>
      </c>
      <c r="AC10" s="770">
        <f t="shared" si="5"/>
        <v>1</v>
      </c>
    </row>
    <row r="11" spans="1:29" ht="15">
      <c r="A11" s="641"/>
      <c r="B11" s="642">
        <v>111</v>
      </c>
      <c r="C11" s="430"/>
      <c r="D11" s="133">
        <v>100</v>
      </c>
      <c r="E11" s="430"/>
      <c r="F11" s="133">
        <f>SUMIF(57:57,E11,58:58)-SUMIF(57:57,C11,58:58)+100</f>
        <v>100</v>
      </c>
      <c r="G11" s="430"/>
      <c r="H11" s="133">
        <f>SUMIF(57:57,G11,58:58)-SUMIF(57:57,C11,58:58)+100</f>
        <v>100</v>
      </c>
      <c r="I11" s="430"/>
      <c r="J11" s="133">
        <f>SUMIF(57:57,I11,58:58)-SUMIF(57:57,C11,58:58)+100</f>
        <v>100</v>
      </c>
      <c r="K11" s="611"/>
      <c r="L11" s="1136"/>
      <c r="M11" s="1129"/>
      <c r="N11" s="1129"/>
      <c r="O11" s="1129"/>
      <c r="P11" s="3200"/>
      <c r="Q11" s="1792">
        <f t="shared" si="6"/>
        <v>111</v>
      </c>
      <c r="R11" s="767" t="s">
        <v>17</v>
      </c>
      <c r="S11" s="768">
        <f t="shared" si="0"/>
        <v>100</v>
      </c>
      <c r="T11" s="767" t="s">
        <v>17</v>
      </c>
      <c r="U11" s="768">
        <f t="shared" si="1"/>
        <v>100</v>
      </c>
      <c r="V11" s="767" t="s">
        <v>17</v>
      </c>
      <c r="W11" s="768">
        <f t="shared" si="2"/>
        <v>100</v>
      </c>
      <c r="X11" s="769"/>
      <c r="Y11" s="3058"/>
      <c r="Z11" s="54">
        <f t="shared" si="7"/>
        <v>111</v>
      </c>
      <c r="AA11" s="770">
        <f t="shared" si="3"/>
        <v>1</v>
      </c>
      <c r="AB11" s="770">
        <f t="shared" si="4"/>
        <v>1</v>
      </c>
      <c r="AC11" s="770">
        <f t="shared" si="5"/>
        <v>1</v>
      </c>
    </row>
    <row r="12" spans="1:29" s="115" customFormat="1" ht="15">
      <c r="A12" s="643"/>
      <c r="B12" s="642">
        <v>111</v>
      </c>
      <c r="C12" s="430"/>
      <c r="D12" s="431">
        <v>100</v>
      </c>
      <c r="E12" s="430"/>
      <c r="F12" s="133">
        <f>SUMIF(59:59,E12,60:60)-SUMIF(59:59,C12,60:60)+100</f>
        <v>100</v>
      </c>
      <c r="G12" s="430"/>
      <c r="H12" s="133">
        <f>SUMIF(59:59,G12,60:60)-SUMIF(59:59,C12,60:60)+100</f>
        <v>100</v>
      </c>
      <c r="I12" s="430"/>
      <c r="J12" s="133">
        <f>SUMIF(59:59,I12,60:60)-SUMIF(59:59,C12,60:60)+100</f>
        <v>100</v>
      </c>
      <c r="K12" s="611"/>
      <c r="L12" s="1130"/>
      <c r="M12" s="1131"/>
      <c r="N12" s="1131"/>
      <c r="O12" s="1131"/>
      <c r="P12" s="3200"/>
      <c r="Q12" s="1792">
        <f t="shared" si="6"/>
        <v>111</v>
      </c>
      <c r="R12" s="767" t="s">
        <v>17</v>
      </c>
      <c r="S12" s="768">
        <f t="shared" si="0"/>
        <v>100</v>
      </c>
      <c r="T12" s="767" t="s">
        <v>17</v>
      </c>
      <c r="U12" s="768">
        <f t="shared" si="1"/>
        <v>100</v>
      </c>
      <c r="V12" s="767" t="s">
        <v>17</v>
      </c>
      <c r="W12" s="768">
        <f t="shared" si="2"/>
        <v>100</v>
      </c>
      <c r="X12" s="769"/>
      <c r="Y12" s="3058"/>
      <c r="Z12" s="54">
        <f t="shared" si="7"/>
        <v>111</v>
      </c>
      <c r="AA12" s="770">
        <f>D12/F12</f>
        <v>1</v>
      </c>
      <c r="AB12" s="770">
        <f>D12/H12</f>
        <v>1</v>
      </c>
      <c r="AC12" s="770">
        <f>D12/J12</f>
        <v>1</v>
      </c>
    </row>
    <row r="13" spans="1:29" ht="15.75" thickBot="1">
      <c r="A13" s="644"/>
      <c r="B13" s="642">
        <v>111</v>
      </c>
      <c r="C13" s="432"/>
      <c r="D13" s="433">
        <v>100</v>
      </c>
      <c r="E13" s="430"/>
      <c r="F13" s="133">
        <f>SUMIF(61:61,E13,62:62)-SUMIF(61:61,C13,62:62)+100</f>
        <v>100</v>
      </c>
      <c r="G13" s="430"/>
      <c r="H13" s="433">
        <f>SUMIF(61:61,G13,62:62)-SUMIF(61:61,C13,62:62)+100</f>
        <v>100</v>
      </c>
      <c r="I13" s="430"/>
      <c r="J13" s="433">
        <f>SUMIF(61:61,I13,62:62)-SUMIF(61:61,C13,62:62)+100</f>
        <v>100</v>
      </c>
      <c r="K13" s="611"/>
      <c r="L13" s="1138"/>
      <c r="M13" s="1129"/>
      <c r="N13" s="1129"/>
      <c r="O13" s="1129"/>
      <c r="P13" s="3200"/>
      <c r="Q13" s="1792">
        <f t="shared" si="6"/>
        <v>111</v>
      </c>
      <c r="R13" s="767" t="s">
        <v>17</v>
      </c>
      <c r="S13" s="768">
        <f t="shared" si="0"/>
        <v>100</v>
      </c>
      <c r="T13" s="767" t="s">
        <v>17</v>
      </c>
      <c r="U13" s="768">
        <f t="shared" si="1"/>
        <v>100</v>
      </c>
      <c r="V13" s="767" t="s">
        <v>17</v>
      </c>
      <c r="W13" s="768">
        <f t="shared" si="2"/>
        <v>100</v>
      </c>
      <c r="X13" s="769"/>
      <c r="Y13" s="3058"/>
      <c r="Z13" s="54">
        <f t="shared" si="7"/>
        <v>111</v>
      </c>
      <c r="AA13" s="770">
        <f t="shared" si="3"/>
        <v>1</v>
      </c>
      <c r="AB13" s="770">
        <f t="shared" si="4"/>
        <v>1</v>
      </c>
      <c r="AC13" s="770">
        <f t="shared" si="5"/>
        <v>1</v>
      </c>
    </row>
    <row r="14" spans="1:29" ht="85.5">
      <c r="A14" s="399" t="s">
        <v>2562</v>
      </c>
      <c r="B14" s="627" t="s">
        <v>2712</v>
      </c>
      <c r="C14" s="2685"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8"/>
      <c r="M14" s="1129"/>
      <c r="N14" s="1129"/>
      <c r="O14" s="1129"/>
      <c r="P14" s="3215" t="s">
        <v>2563</v>
      </c>
      <c r="Q14" s="1807" t="str">
        <f t="shared" si="6"/>
        <v>交通便捷度</v>
      </c>
      <c r="R14" s="771" t="s">
        <v>17</v>
      </c>
      <c r="S14" s="772">
        <f t="shared" si="0"/>
        <v>100</v>
      </c>
      <c r="T14" s="771" t="s">
        <v>17</v>
      </c>
      <c r="U14" s="772">
        <f t="shared" si="1"/>
        <v>100</v>
      </c>
      <c r="V14" s="771" t="s">
        <v>17</v>
      </c>
      <c r="W14" s="772">
        <f t="shared" si="2"/>
        <v>100</v>
      </c>
      <c r="X14" s="1810"/>
      <c r="Y14" s="3215" t="s">
        <v>2563</v>
      </c>
      <c r="Z14" s="1811" t="str">
        <f t="shared" si="7"/>
        <v>交通便捷度</v>
      </c>
      <c r="AA14" s="1808">
        <f t="shared" si="3"/>
        <v>1</v>
      </c>
      <c r="AB14" s="1808">
        <f t="shared" si="4"/>
        <v>1</v>
      </c>
      <c r="AC14" s="1808">
        <f t="shared" si="5"/>
        <v>1</v>
      </c>
    </row>
    <row r="15" spans="1:29" ht="15">
      <c r="A15" s="402"/>
      <c r="B15" s="645"/>
      <c r="C15" s="445"/>
      <c r="D15" s="446"/>
      <c r="E15" s="445"/>
      <c r="F15" s="447"/>
      <c r="G15" s="445"/>
      <c r="H15" s="448"/>
      <c r="I15" s="445"/>
      <c r="J15" s="446"/>
      <c r="K15" s="613"/>
      <c r="L15" s="1138"/>
      <c r="M15" s="1129"/>
      <c r="N15" s="1129"/>
      <c r="O15" s="1129"/>
      <c r="P15" s="3216"/>
      <c r="Q15" s="1807"/>
      <c r="R15" s="771"/>
      <c r="S15" s="772"/>
      <c r="T15" s="771"/>
      <c r="U15" s="772"/>
      <c r="V15" s="771"/>
      <c r="W15" s="772"/>
      <c r="X15" s="1810"/>
      <c r="Y15" s="3216"/>
      <c r="Z15" s="1811"/>
      <c r="AA15" s="1808">
        <v>1</v>
      </c>
      <c r="AB15" s="1808">
        <v>1</v>
      </c>
      <c r="AC15" s="1808">
        <v>1</v>
      </c>
    </row>
    <row r="16" spans="1:29" ht="42.75">
      <c r="A16" s="402"/>
      <c r="B16" s="629" t="s">
        <v>2691</v>
      </c>
      <c r="C16" s="2601"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38"/>
      <c r="M16" s="1129"/>
      <c r="N16" s="1129"/>
      <c r="O16" s="1129"/>
      <c r="P16" s="3216"/>
      <c r="Q16" s="1807" t="str">
        <f>B16</f>
        <v>公共配套设施</v>
      </c>
      <c r="R16" s="771" t="s">
        <v>17</v>
      </c>
      <c r="S16" s="772">
        <f>F16</f>
        <v>100</v>
      </c>
      <c r="T16" s="771" t="s">
        <v>17</v>
      </c>
      <c r="U16" s="772">
        <f>H16</f>
        <v>100</v>
      </c>
      <c r="V16" s="771" t="s">
        <v>17</v>
      </c>
      <c r="W16" s="772">
        <f>J16</f>
        <v>100</v>
      </c>
      <c r="X16" s="1810"/>
      <c r="Y16" s="3216"/>
      <c r="Z16" s="1811" t="str">
        <f>Q16</f>
        <v>公共配套设施</v>
      </c>
      <c r="AA16" s="1808">
        <f t="shared" si="3"/>
        <v>1</v>
      </c>
      <c r="AB16" s="1808">
        <f t="shared" si="4"/>
        <v>1</v>
      </c>
      <c r="AC16" s="1808">
        <f t="shared" si="5"/>
        <v>1</v>
      </c>
    </row>
    <row r="17" spans="1:29" ht="15">
      <c r="A17" s="402"/>
      <c r="B17" s="630"/>
      <c r="C17" s="2602"/>
      <c r="D17" s="446"/>
      <c r="E17" s="445"/>
      <c r="F17" s="447"/>
      <c r="G17" s="445"/>
      <c r="H17" s="446"/>
      <c r="I17" s="445"/>
      <c r="J17" s="446"/>
      <c r="K17" s="613"/>
      <c r="L17" s="1138"/>
      <c r="M17" s="1129"/>
      <c r="N17" s="1129"/>
      <c r="O17" s="1129"/>
      <c r="P17" s="3216"/>
      <c r="Q17" s="1807"/>
      <c r="R17" s="771"/>
      <c r="S17" s="772"/>
      <c r="T17" s="771"/>
      <c r="U17" s="772"/>
      <c r="V17" s="771"/>
      <c r="W17" s="772"/>
      <c r="X17" s="1810"/>
      <c r="Y17" s="3216"/>
      <c r="Z17" s="1811"/>
      <c r="AA17" s="1808">
        <v>1</v>
      </c>
      <c r="AB17" s="1808">
        <v>1</v>
      </c>
      <c r="AC17" s="1808">
        <v>1</v>
      </c>
    </row>
    <row r="18" spans="1:29" ht="28.5">
      <c r="A18" s="402"/>
      <c r="B18" s="631" t="s">
        <v>2692</v>
      </c>
      <c r="C18" s="2601"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38"/>
      <c r="M18" s="1129"/>
      <c r="N18" s="1129"/>
      <c r="O18" s="1129"/>
      <c r="P18" s="3216"/>
      <c r="Q18" s="1807" t="str">
        <f>B18</f>
        <v>基础设施水平</v>
      </c>
      <c r="R18" s="771" t="s">
        <v>17</v>
      </c>
      <c r="S18" s="772">
        <f>F18</f>
        <v>100</v>
      </c>
      <c r="T18" s="771" t="s">
        <v>17</v>
      </c>
      <c r="U18" s="772">
        <f>H18</f>
        <v>100</v>
      </c>
      <c r="V18" s="771" t="s">
        <v>17</v>
      </c>
      <c r="W18" s="772">
        <f>J18</f>
        <v>100</v>
      </c>
      <c r="X18" s="1810"/>
      <c r="Y18" s="3216"/>
      <c r="Z18" s="1811" t="str">
        <f>Q18</f>
        <v>基础设施水平</v>
      </c>
      <c r="AA18" s="1808">
        <f t="shared" ref="AA18" si="8">D18/F18</f>
        <v>1</v>
      </c>
      <c r="AB18" s="1808">
        <f t="shared" ref="AB18" si="9">D18/H18</f>
        <v>1</v>
      </c>
      <c r="AC18" s="1808">
        <f t="shared" ref="AC18" si="10">D18/J18</f>
        <v>1</v>
      </c>
    </row>
    <row r="19" spans="1:29" ht="15">
      <c r="A19" s="402"/>
      <c r="B19" s="631"/>
      <c r="C19" s="2602"/>
      <c r="D19" s="448"/>
      <c r="E19" s="2602"/>
      <c r="F19" s="451"/>
      <c r="G19" s="2602"/>
      <c r="H19" s="446"/>
      <c r="I19" s="445"/>
      <c r="J19" s="446"/>
      <c r="K19" s="1381"/>
      <c r="L19" s="1138"/>
      <c r="M19" s="1129"/>
      <c r="N19" s="1129"/>
      <c r="O19" s="1129"/>
      <c r="P19" s="3216"/>
      <c r="Q19" s="1807"/>
      <c r="R19" s="771"/>
      <c r="S19" s="772"/>
      <c r="T19" s="771"/>
      <c r="U19" s="772"/>
      <c r="V19" s="771"/>
      <c r="W19" s="772"/>
      <c r="X19" s="1810"/>
      <c r="Y19" s="3216"/>
      <c r="Z19" s="1811"/>
      <c r="AA19" s="1808">
        <v>1</v>
      </c>
      <c r="AB19" s="1808">
        <v>1</v>
      </c>
      <c r="AC19" s="1808">
        <v>1</v>
      </c>
    </row>
    <row r="20" spans="1:29" ht="57">
      <c r="A20" s="402"/>
      <c r="B20" s="629" t="s">
        <v>2713</v>
      </c>
      <c r="C20" s="2601"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8"/>
      <c r="M20" s="1129"/>
      <c r="N20" s="1129"/>
      <c r="O20" s="1129"/>
      <c r="P20" s="3216"/>
      <c r="Q20" s="1807" t="str">
        <f>B20</f>
        <v>自然及人文环境</v>
      </c>
      <c r="R20" s="771" t="s">
        <v>17</v>
      </c>
      <c r="S20" s="772">
        <f>F20</f>
        <v>100</v>
      </c>
      <c r="T20" s="771" t="s">
        <v>17</v>
      </c>
      <c r="U20" s="772">
        <f>H20</f>
        <v>100</v>
      </c>
      <c r="V20" s="771" t="s">
        <v>17</v>
      </c>
      <c r="W20" s="772">
        <f>J20</f>
        <v>100</v>
      </c>
      <c r="X20" s="1810"/>
      <c r="Y20" s="3216"/>
      <c r="Z20" s="1811" t="str">
        <f>Q20</f>
        <v>自然及人文环境</v>
      </c>
      <c r="AA20" s="1808">
        <f t="shared" si="3"/>
        <v>1</v>
      </c>
      <c r="AB20" s="1808">
        <f t="shared" si="4"/>
        <v>1</v>
      </c>
      <c r="AC20" s="1808">
        <f t="shared" si="5"/>
        <v>1</v>
      </c>
    </row>
    <row r="21" spans="1:29" ht="15">
      <c r="A21" s="402"/>
      <c r="B21" s="630"/>
      <c r="C21" s="445"/>
      <c r="D21" s="446"/>
      <c r="E21" s="445"/>
      <c r="F21" s="447"/>
      <c r="G21" s="445"/>
      <c r="H21" s="446"/>
      <c r="I21" s="445"/>
      <c r="J21" s="446"/>
      <c r="K21" s="613"/>
      <c r="L21" s="1138"/>
      <c r="M21" s="1129"/>
      <c r="N21" s="1129"/>
      <c r="O21" s="1129"/>
      <c r="P21" s="3216"/>
      <c r="Q21" s="1807"/>
      <c r="R21" s="771"/>
      <c r="S21" s="772"/>
      <c r="T21" s="771"/>
      <c r="U21" s="772"/>
      <c r="V21" s="771"/>
      <c r="W21" s="772"/>
      <c r="X21" s="1810"/>
      <c r="Y21" s="3216"/>
      <c r="Z21" s="1811"/>
      <c r="AA21" s="1808">
        <v>1</v>
      </c>
      <c r="AB21" s="1808">
        <v>1</v>
      </c>
      <c r="AC21" s="1808">
        <v>1</v>
      </c>
    </row>
    <row r="22" spans="1:29" ht="15">
      <c r="A22" s="402"/>
      <c r="B22" s="629" t="s">
        <v>2714</v>
      </c>
      <c r="C22" s="614"/>
      <c r="D22" s="448">
        <v>100</v>
      </c>
      <c r="E22" s="614"/>
      <c r="F22" s="459">
        <f>SUMIF(71:71,E22,72:72)-SUMIF(71:71,C22,72:72)+100</f>
        <v>100</v>
      </c>
      <c r="G22" s="614"/>
      <c r="H22" s="433">
        <f>SUMIF(71:71,G22,72:72)-SUMIF(71:71,C22,72:72)+100</f>
        <v>100</v>
      </c>
      <c r="I22" s="614"/>
      <c r="J22" s="433">
        <f>SUMIF(71:71,I22,72:72)-SUMIF(71:71,C22,72:72)+100</f>
        <v>100</v>
      </c>
      <c r="K22" s="610"/>
      <c r="L22" s="1138"/>
      <c r="M22" s="1129"/>
      <c r="N22" s="1129"/>
      <c r="O22" s="1129"/>
      <c r="P22" s="3216"/>
      <c r="Q22" s="1807" t="str">
        <f>B22</f>
        <v>楼层</v>
      </c>
      <c r="R22" s="771" t="s">
        <v>17</v>
      </c>
      <c r="S22" s="772">
        <f>F22</f>
        <v>100</v>
      </c>
      <c r="T22" s="771" t="s">
        <v>17</v>
      </c>
      <c r="U22" s="772">
        <f>H22</f>
        <v>100</v>
      </c>
      <c r="V22" s="771" t="s">
        <v>17</v>
      </c>
      <c r="W22" s="772">
        <f>J22</f>
        <v>100</v>
      </c>
      <c r="X22" s="1810"/>
      <c r="Y22" s="3216"/>
      <c r="Z22" s="1811" t="str">
        <f>Q22</f>
        <v>楼层</v>
      </c>
      <c r="AA22" s="1808">
        <f t="shared" si="3"/>
        <v>1</v>
      </c>
      <c r="AB22" s="1808">
        <f t="shared" si="4"/>
        <v>1</v>
      </c>
      <c r="AC22" s="1808">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8"/>
      <c r="M23" s="1129"/>
      <c r="N23" s="1129"/>
      <c r="O23" s="1129"/>
      <c r="P23" s="3216"/>
      <c r="Q23" s="1807">
        <f>B23</f>
        <v>111</v>
      </c>
      <c r="R23" s="771" t="s">
        <v>17</v>
      </c>
      <c r="S23" s="772">
        <f>F23</f>
        <v>100</v>
      </c>
      <c r="T23" s="771" t="s">
        <v>17</v>
      </c>
      <c r="U23" s="772">
        <f>H23</f>
        <v>100</v>
      </c>
      <c r="V23" s="771" t="s">
        <v>17</v>
      </c>
      <c r="W23" s="772">
        <f>J23</f>
        <v>100</v>
      </c>
      <c r="X23" s="1810"/>
      <c r="Y23" s="3216"/>
      <c r="Z23" s="1811">
        <f>Q23</f>
        <v>111</v>
      </c>
      <c r="AA23" s="1808">
        <f t="shared" si="3"/>
        <v>1</v>
      </c>
      <c r="AB23" s="1808">
        <f t="shared" si="4"/>
        <v>1</v>
      </c>
      <c r="AC23" s="1808">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8"/>
      <c r="M24" s="1129"/>
      <c r="N24" s="1129"/>
      <c r="O24" s="1129"/>
      <c r="P24" s="3216"/>
      <c r="Q24" s="1807">
        <f t="shared" ref="Q24:Q36" si="11">B24</f>
        <v>111</v>
      </c>
      <c r="R24" s="771" t="s">
        <v>17</v>
      </c>
      <c r="S24" s="772">
        <f>F24</f>
        <v>100</v>
      </c>
      <c r="T24" s="771" t="s">
        <v>17</v>
      </c>
      <c r="U24" s="772">
        <f>H24</f>
        <v>100</v>
      </c>
      <c r="V24" s="771" t="s">
        <v>17</v>
      </c>
      <c r="W24" s="772">
        <f>J24</f>
        <v>100</v>
      </c>
      <c r="X24" s="1810"/>
      <c r="Y24" s="3216"/>
      <c r="Z24" s="1811">
        <f>Q24</f>
        <v>111</v>
      </c>
      <c r="AA24" s="1808">
        <f t="shared" si="3"/>
        <v>1</v>
      </c>
      <c r="AB24" s="1808">
        <f t="shared" si="4"/>
        <v>1</v>
      </c>
      <c r="AC24" s="1808">
        <f t="shared" si="5"/>
        <v>1</v>
      </c>
    </row>
    <row r="25" spans="1:29" s="115"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0"/>
      <c r="M25" s="1131"/>
      <c r="N25" s="1131"/>
      <c r="O25" s="1131"/>
      <c r="P25" s="3216"/>
      <c r="Q25" s="1792">
        <f t="shared" si="11"/>
        <v>111</v>
      </c>
      <c r="R25" s="767" t="s">
        <v>17</v>
      </c>
      <c r="S25" s="768">
        <f>F25</f>
        <v>100</v>
      </c>
      <c r="T25" s="767" t="s">
        <v>17</v>
      </c>
      <c r="U25" s="768">
        <f>H25</f>
        <v>100</v>
      </c>
      <c r="V25" s="767" t="s">
        <v>17</v>
      </c>
      <c r="W25" s="768">
        <f>J25</f>
        <v>100</v>
      </c>
      <c r="X25" s="769"/>
      <c r="Y25" s="3216"/>
      <c r="Z25" s="54">
        <f>Q25</f>
        <v>111</v>
      </c>
      <c r="AA25" s="1808">
        <f>D25/F25</f>
        <v>1</v>
      </c>
      <c r="AB25" s="1808">
        <f>D25/H25</f>
        <v>1</v>
      </c>
      <c r="AC25" s="1808">
        <f>D25/J25</f>
        <v>1</v>
      </c>
    </row>
    <row r="26" spans="1:29" ht="15">
      <c r="A26" s="650" t="s">
        <v>2566</v>
      </c>
      <c r="B26" s="69" t="s">
        <v>2715</v>
      </c>
      <c r="C26" s="2686">
        <f>B1</f>
        <v>0</v>
      </c>
      <c r="D26" s="446">
        <v>100</v>
      </c>
      <c r="E26" s="445"/>
      <c r="F26" s="447">
        <f>SUMIF(79:79,E26,80:80)-SUMIF(79:79,C26,80:80)+100</f>
        <v>100</v>
      </c>
      <c r="G26" s="445"/>
      <c r="H26" s="446">
        <f>SUMIF(79:79,G26,80:80)-SUMIF(79:79,C26,80:80)+100</f>
        <v>100</v>
      </c>
      <c r="I26" s="445"/>
      <c r="J26" s="446">
        <f>SUMIF(79:79,I26,80:80)-SUMIF(79:79,C26,80:80)+100</f>
        <v>100</v>
      </c>
      <c r="K26" s="610"/>
      <c r="L26" s="1138"/>
      <c r="M26" s="1129"/>
      <c r="N26" s="1129"/>
      <c r="O26" s="1129"/>
      <c r="P26" s="3217" t="s">
        <v>2568</v>
      </c>
      <c r="Q26" s="1807" t="str">
        <f t="shared" si="11"/>
        <v>配套类型</v>
      </c>
      <c r="R26" s="771" t="s">
        <v>17</v>
      </c>
      <c r="S26" s="772">
        <f t="shared" ref="S26:S36" si="12">F26</f>
        <v>100</v>
      </c>
      <c r="T26" s="771" t="s">
        <v>17</v>
      </c>
      <c r="U26" s="772">
        <f t="shared" ref="U26:U36" si="13">H26</f>
        <v>100</v>
      </c>
      <c r="V26" s="771" t="s">
        <v>17</v>
      </c>
      <c r="W26" s="772">
        <f t="shared" ref="W26:W36" si="14">J26</f>
        <v>100</v>
      </c>
      <c r="X26" s="1810"/>
      <c r="Y26" s="3218" t="s">
        <v>2568</v>
      </c>
      <c r="Z26" s="1811" t="str">
        <f t="shared" ref="Z26:Z36" si="15">Q26</f>
        <v>配套类型</v>
      </c>
      <c r="AA26" s="1808">
        <f t="shared" si="3"/>
        <v>1</v>
      </c>
      <c r="AB26" s="1808">
        <f t="shared" si="4"/>
        <v>1</v>
      </c>
      <c r="AC26" s="1808">
        <f t="shared" si="5"/>
        <v>1</v>
      </c>
    </row>
    <row r="27" spans="1:29" s="469" customFormat="1" ht="15">
      <c r="A27" s="651"/>
      <c r="B27" s="652" t="s">
        <v>2716</v>
      </c>
      <c r="C27" s="653"/>
      <c r="D27" s="133">
        <v>100</v>
      </c>
      <c r="E27" s="653"/>
      <c r="F27" s="459">
        <f>SUMIF(81:81,E27,82:82)-SUMIF(81:81,C27,82:82)+100</f>
        <v>100</v>
      </c>
      <c r="G27" s="653"/>
      <c r="H27" s="433">
        <f>SUMIF(81:81,G27,82:82)-SUMIF(81:81,C27,82:82)+100</f>
        <v>100</v>
      </c>
      <c r="I27" s="653"/>
      <c r="J27" s="433">
        <f>SUMIF(81:81,I27,82:82)-SUMIF(81:81,C27,82:82)+100</f>
        <v>100</v>
      </c>
      <c r="K27" s="611"/>
      <c r="L27" s="1136"/>
      <c r="M27" s="1139"/>
      <c r="N27" s="1139"/>
      <c r="O27" s="1139"/>
      <c r="P27" s="3218"/>
      <c r="Q27" s="773" t="str">
        <f t="shared" si="11"/>
        <v>项目停车位配比</v>
      </c>
      <c r="R27" s="774" t="s">
        <v>17</v>
      </c>
      <c r="S27" s="775">
        <f t="shared" si="12"/>
        <v>100</v>
      </c>
      <c r="T27" s="774" t="s">
        <v>17</v>
      </c>
      <c r="U27" s="775">
        <f t="shared" si="13"/>
        <v>100</v>
      </c>
      <c r="V27" s="774" t="s">
        <v>17</v>
      </c>
      <c r="W27" s="775">
        <f t="shared" si="14"/>
        <v>100</v>
      </c>
      <c r="X27" s="776"/>
      <c r="Y27" s="3218"/>
      <c r="Z27" s="777" t="str">
        <f t="shared" si="15"/>
        <v>项目停车位配比</v>
      </c>
      <c r="AA27" s="1808">
        <f t="shared" si="3"/>
        <v>1</v>
      </c>
      <c r="AB27" s="1808">
        <f t="shared" si="4"/>
        <v>1</v>
      </c>
      <c r="AC27" s="1808">
        <f t="shared" si="5"/>
        <v>1</v>
      </c>
    </row>
    <row r="28" spans="1:29" ht="15">
      <c r="A28" s="654"/>
      <c r="B28" s="652" t="s">
        <v>2717</v>
      </c>
      <c r="C28" s="458"/>
      <c r="D28" s="433">
        <v>100</v>
      </c>
      <c r="E28" s="458"/>
      <c r="F28" s="459">
        <f>SUMIF(83:83,E28,84:84)-SUMIF(83:83,C28,84:84)+100</f>
        <v>100</v>
      </c>
      <c r="G28" s="458"/>
      <c r="H28" s="433">
        <f>SUMIF(83:83,G28,84:84)-SUMIF(83:83,C28,84:84)+100</f>
        <v>100</v>
      </c>
      <c r="I28" s="458"/>
      <c r="J28" s="433">
        <f>SUMIF(83:83,I28,84:84)-SUMIF(83:83,C28,84:84)+100</f>
        <v>100</v>
      </c>
      <c r="K28" s="610"/>
      <c r="L28" s="1138"/>
      <c r="M28" s="1129"/>
      <c r="N28" s="1129"/>
      <c r="O28" s="1129"/>
      <c r="P28" s="3218"/>
      <c r="Q28" s="1807" t="str">
        <f t="shared" si="11"/>
        <v>公共部分装修</v>
      </c>
      <c r="R28" s="771" t="s">
        <v>17</v>
      </c>
      <c r="S28" s="772">
        <f t="shared" si="12"/>
        <v>100</v>
      </c>
      <c r="T28" s="771" t="s">
        <v>17</v>
      </c>
      <c r="U28" s="772">
        <f t="shared" si="13"/>
        <v>100</v>
      </c>
      <c r="V28" s="771" t="s">
        <v>17</v>
      </c>
      <c r="W28" s="772">
        <f t="shared" si="14"/>
        <v>100</v>
      </c>
      <c r="X28" s="1810"/>
      <c r="Y28" s="3218"/>
      <c r="Z28" s="1811" t="str">
        <f t="shared" si="15"/>
        <v>公共部分装修</v>
      </c>
      <c r="AA28" s="1808">
        <f t="shared" si="3"/>
        <v>1</v>
      </c>
      <c r="AB28" s="1808">
        <f t="shared" si="4"/>
        <v>1</v>
      </c>
      <c r="AC28" s="1808">
        <f t="shared" si="5"/>
        <v>1</v>
      </c>
    </row>
    <row r="29" spans="1:29" ht="15">
      <c r="A29" s="654"/>
      <c r="B29" s="652" t="s">
        <v>2718</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8"/>
      <c r="M29" s="1129"/>
      <c r="N29" s="1129"/>
      <c r="O29" s="1129"/>
      <c r="P29" s="3218"/>
      <c r="Q29" s="1807" t="str">
        <f t="shared" si="11"/>
        <v>成新率</v>
      </c>
      <c r="R29" s="771" t="s">
        <v>17</v>
      </c>
      <c r="S29" s="772" t="e">
        <f t="shared" si="12"/>
        <v>#N/A</v>
      </c>
      <c r="T29" s="771" t="s">
        <v>17</v>
      </c>
      <c r="U29" s="772" t="e">
        <f t="shared" si="13"/>
        <v>#N/A</v>
      </c>
      <c r="V29" s="771" t="s">
        <v>17</v>
      </c>
      <c r="W29" s="772" t="e">
        <f t="shared" si="14"/>
        <v>#N/A</v>
      </c>
      <c r="X29" s="1810"/>
      <c r="Y29" s="3218"/>
      <c r="Z29" s="1811" t="str">
        <f t="shared" si="15"/>
        <v>成新率</v>
      </c>
      <c r="AA29" s="1808" t="e">
        <f t="shared" si="3"/>
        <v>#N/A</v>
      </c>
      <c r="AB29" s="1808" t="e">
        <f t="shared" si="4"/>
        <v>#N/A</v>
      </c>
      <c r="AC29" s="1808" t="e">
        <f t="shared" si="5"/>
        <v>#N/A</v>
      </c>
    </row>
    <row r="30" spans="1:29" ht="15">
      <c r="A30" s="654"/>
      <c r="B30" s="652" t="s">
        <v>2719</v>
      </c>
      <c r="C30" s="655"/>
      <c r="D30" s="433">
        <v>100</v>
      </c>
      <c r="E30" s="655"/>
      <c r="F30" s="459">
        <f>SUMIF(88:88,E30,89:89)-SUMIF(88:88,C30,89:89)+100</f>
        <v>100</v>
      </c>
      <c r="G30" s="655"/>
      <c r="H30" s="433">
        <f>SUMIF(88:88,E30,89:89)-SUMIF(88:88,C30,89:89)+100</f>
        <v>100</v>
      </c>
      <c r="I30" s="655"/>
      <c r="J30" s="433">
        <f>SUMIF(88:88,E30,89:89)-SUMIF(88:88,C30,89:89)+100</f>
        <v>100</v>
      </c>
      <c r="K30" s="610"/>
      <c r="L30" s="1138"/>
      <c r="M30" s="1129"/>
      <c r="N30" s="1129"/>
      <c r="O30" s="1129"/>
      <c r="P30" s="3218"/>
      <c r="Q30" s="1807" t="str">
        <f t="shared" si="11"/>
        <v>物业等级</v>
      </c>
      <c r="R30" s="771" t="s">
        <v>17</v>
      </c>
      <c r="S30" s="772">
        <f t="shared" si="12"/>
        <v>100</v>
      </c>
      <c r="T30" s="771" t="s">
        <v>17</v>
      </c>
      <c r="U30" s="772">
        <f t="shared" si="13"/>
        <v>100</v>
      </c>
      <c r="V30" s="771" t="s">
        <v>17</v>
      </c>
      <c r="W30" s="772">
        <f t="shared" si="14"/>
        <v>100</v>
      </c>
      <c r="X30" s="1810"/>
      <c r="Y30" s="3218"/>
      <c r="Z30" s="1811" t="str">
        <f t="shared" si="15"/>
        <v>物业等级</v>
      </c>
      <c r="AA30" s="1808">
        <f t="shared" si="3"/>
        <v>1</v>
      </c>
      <c r="AB30" s="1808">
        <f t="shared" si="4"/>
        <v>1</v>
      </c>
      <c r="AC30" s="1808">
        <f t="shared" si="5"/>
        <v>1</v>
      </c>
    </row>
    <row r="31" spans="1:29" s="115" customFormat="1" ht="15">
      <c r="A31" s="656"/>
      <c r="B31" s="652" t="s">
        <v>2720</v>
      </c>
      <c r="C31" s="467"/>
      <c r="D31" s="133">
        <v>100</v>
      </c>
      <c r="E31" s="467"/>
      <c r="F31" s="459" t="e">
        <f>LOOKUP(E31,91:91,92:92)-LOOKUP(C31,91:91,92:92)+100</f>
        <v>#N/A</v>
      </c>
      <c r="G31" s="467"/>
      <c r="H31" s="433" t="e">
        <f>LOOKUP(G31,91:91,92:92)-LOOKUP(C31,91:91,92:92)+100</f>
        <v>#N/A</v>
      </c>
      <c r="I31" s="467"/>
      <c r="J31" s="433" t="e">
        <f>LOOKUP(I31,91:91,92:92)-LOOKUP(C31,91:91,92:92)+100</f>
        <v>#N/A</v>
      </c>
      <c r="K31" s="610"/>
      <c r="L31" s="1130"/>
      <c r="M31" s="1131"/>
      <c r="N31" s="1131"/>
      <c r="O31" s="1131"/>
      <c r="P31" s="3218"/>
      <c r="Q31" s="1792" t="str">
        <f t="shared" si="11"/>
        <v>停车位面积</v>
      </c>
      <c r="R31" s="767" t="s">
        <v>17</v>
      </c>
      <c r="S31" s="768" t="e">
        <f t="shared" si="12"/>
        <v>#N/A</v>
      </c>
      <c r="T31" s="767" t="s">
        <v>17</v>
      </c>
      <c r="U31" s="768" t="e">
        <f t="shared" si="13"/>
        <v>#N/A</v>
      </c>
      <c r="V31" s="767" t="s">
        <v>17</v>
      </c>
      <c r="W31" s="768" t="e">
        <f t="shared" si="14"/>
        <v>#N/A</v>
      </c>
      <c r="X31" s="769"/>
      <c r="Y31" s="3218"/>
      <c r="Z31" s="54" t="str">
        <f t="shared" si="15"/>
        <v>停车位面积</v>
      </c>
      <c r="AA31" s="770" t="e">
        <f t="shared" si="3"/>
        <v>#N/A</v>
      </c>
      <c r="AB31" s="770" t="e">
        <f t="shared" si="4"/>
        <v>#N/A</v>
      </c>
      <c r="AC31" s="770" t="e">
        <f t="shared" si="5"/>
        <v>#N/A</v>
      </c>
    </row>
    <row r="32" spans="1:29" ht="15">
      <c r="A32" s="654"/>
      <c r="B32" s="652" t="s">
        <v>2721</v>
      </c>
      <c r="C32" s="458"/>
      <c r="D32" s="433">
        <v>100</v>
      </c>
      <c r="E32" s="458"/>
      <c r="F32" s="459">
        <f>SUMIF(93:93,E32,94:94)-SUMIF(93:93,C32,94:94)+100</f>
        <v>100</v>
      </c>
      <c r="G32" s="458"/>
      <c r="H32" s="433">
        <f>SUMIF(93:93,G32,94:94)-SUMIF(93:93,C32,94:94)+100</f>
        <v>100</v>
      </c>
      <c r="I32" s="458"/>
      <c r="J32" s="433">
        <f>SUMIF(93:93,I32,94:94)-SUMIF(93:93,C32,94:94)+100</f>
        <v>100</v>
      </c>
      <c r="K32" s="610"/>
      <c r="L32" s="1138"/>
      <c r="M32" s="1129"/>
      <c r="N32" s="1129"/>
      <c r="O32" s="1129"/>
      <c r="P32" s="3218" t="s">
        <v>2568</v>
      </c>
      <c r="Q32" s="1807" t="str">
        <f t="shared" si="11"/>
        <v>车位类型</v>
      </c>
      <c r="R32" s="771" t="s">
        <v>17</v>
      </c>
      <c r="S32" s="772">
        <f t="shared" si="12"/>
        <v>100</v>
      </c>
      <c r="T32" s="771" t="s">
        <v>17</v>
      </c>
      <c r="U32" s="772">
        <f t="shared" si="13"/>
        <v>100</v>
      </c>
      <c r="V32" s="771" t="s">
        <v>17</v>
      </c>
      <c r="W32" s="772">
        <f t="shared" si="14"/>
        <v>100</v>
      </c>
      <c r="X32" s="1810"/>
      <c r="Y32" s="3218" t="s">
        <v>2568</v>
      </c>
      <c r="Z32" s="1811" t="str">
        <f t="shared" si="15"/>
        <v>车位类型</v>
      </c>
      <c r="AA32" s="1808">
        <f t="shared" si="3"/>
        <v>1</v>
      </c>
      <c r="AB32" s="1808">
        <f t="shared" si="4"/>
        <v>1</v>
      </c>
      <c r="AC32" s="1808">
        <f t="shared" si="5"/>
        <v>1</v>
      </c>
    </row>
    <row r="33" spans="1:29" ht="15">
      <c r="A33" s="654"/>
      <c r="B33" s="652" t="s">
        <v>2722</v>
      </c>
      <c r="C33" s="458"/>
      <c r="D33" s="433">
        <v>100</v>
      </c>
      <c r="E33" s="458"/>
      <c r="F33" s="459">
        <f>SUMIF(95:95,E33,96:96)-SUMIF(95:95,C33,96:96)+100</f>
        <v>100</v>
      </c>
      <c r="G33" s="458"/>
      <c r="H33" s="433">
        <f>SUMIF(95:95,G33,96:96)-SUMIF(95:95,C33,96:96)+100</f>
        <v>100</v>
      </c>
      <c r="I33" s="458"/>
      <c r="J33" s="433">
        <f>SUMIF(95:95,I33,96:96)-SUMIF(95:95,C33,96:96)+100</f>
        <v>100</v>
      </c>
      <c r="K33" s="610"/>
      <c r="L33" s="1138"/>
      <c r="M33" s="1129"/>
      <c r="N33" s="1129"/>
      <c r="O33" s="1129"/>
      <c r="P33" s="3218"/>
      <c r="Q33" s="1807" t="str">
        <f t="shared" si="11"/>
        <v>是否直接入户</v>
      </c>
      <c r="R33" s="771" t="s">
        <v>17</v>
      </c>
      <c r="S33" s="772">
        <f t="shared" si="12"/>
        <v>100</v>
      </c>
      <c r="T33" s="771" t="s">
        <v>17</v>
      </c>
      <c r="U33" s="772">
        <f t="shared" si="13"/>
        <v>100</v>
      </c>
      <c r="V33" s="771" t="s">
        <v>17</v>
      </c>
      <c r="W33" s="772">
        <f t="shared" si="14"/>
        <v>100</v>
      </c>
      <c r="X33" s="1810"/>
      <c r="Y33" s="3218"/>
      <c r="Z33" s="1811" t="str">
        <f t="shared" si="15"/>
        <v>是否直接入户</v>
      </c>
      <c r="AA33" s="1808">
        <f t="shared" si="3"/>
        <v>1</v>
      </c>
      <c r="AB33" s="1808">
        <f t="shared" si="4"/>
        <v>1</v>
      </c>
      <c r="AC33" s="1808">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8"/>
      <c r="M34" s="1129"/>
      <c r="N34" s="1129"/>
      <c r="O34" s="1129"/>
      <c r="P34" s="3218"/>
      <c r="Q34" s="1807">
        <f t="shared" si="11"/>
        <v>111</v>
      </c>
      <c r="R34" s="771" t="s">
        <v>17</v>
      </c>
      <c r="S34" s="772">
        <f t="shared" si="12"/>
        <v>100</v>
      </c>
      <c r="T34" s="771" t="s">
        <v>17</v>
      </c>
      <c r="U34" s="772">
        <f t="shared" si="13"/>
        <v>100</v>
      </c>
      <c r="V34" s="771" t="s">
        <v>17</v>
      </c>
      <c r="W34" s="772">
        <f t="shared" si="14"/>
        <v>100</v>
      </c>
      <c r="X34" s="1810"/>
      <c r="Y34" s="3218"/>
      <c r="Z34" s="1811">
        <f t="shared" si="15"/>
        <v>111</v>
      </c>
      <c r="AA34" s="1808">
        <f t="shared" si="3"/>
        <v>1</v>
      </c>
      <c r="AB34" s="1808">
        <f t="shared" si="4"/>
        <v>1</v>
      </c>
      <c r="AC34" s="1808">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6"/>
      <c r="M35" s="1139"/>
      <c r="N35" s="1139"/>
      <c r="O35" s="1139"/>
      <c r="P35" s="3218"/>
      <c r="Q35" s="773">
        <f t="shared" si="11"/>
        <v>111</v>
      </c>
      <c r="R35" s="774" t="s">
        <v>17</v>
      </c>
      <c r="S35" s="775">
        <f t="shared" si="12"/>
        <v>100</v>
      </c>
      <c r="T35" s="774" t="s">
        <v>17</v>
      </c>
      <c r="U35" s="775">
        <f t="shared" si="13"/>
        <v>100</v>
      </c>
      <c r="V35" s="774" t="s">
        <v>17</v>
      </c>
      <c r="W35" s="775">
        <f t="shared" si="14"/>
        <v>100</v>
      </c>
      <c r="X35" s="776"/>
      <c r="Y35" s="3218"/>
      <c r="Z35" s="777">
        <f t="shared" si="15"/>
        <v>111</v>
      </c>
      <c r="AA35" s="1808">
        <f t="shared" si="3"/>
        <v>1</v>
      </c>
      <c r="AB35" s="1808">
        <f t="shared" si="4"/>
        <v>1</v>
      </c>
      <c r="AC35" s="1808">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8"/>
      <c r="M36" s="1129"/>
      <c r="N36" s="1129"/>
      <c r="O36" s="1129"/>
      <c r="P36" s="3218"/>
      <c r="Q36" s="1807">
        <f t="shared" si="11"/>
        <v>111</v>
      </c>
      <c r="R36" s="771" t="s">
        <v>17</v>
      </c>
      <c r="S36" s="772">
        <f t="shared" si="12"/>
        <v>100</v>
      </c>
      <c r="T36" s="771" t="s">
        <v>17</v>
      </c>
      <c r="U36" s="772">
        <f t="shared" si="13"/>
        <v>100</v>
      </c>
      <c r="V36" s="771" t="s">
        <v>17</v>
      </c>
      <c r="W36" s="772">
        <f t="shared" si="14"/>
        <v>100</v>
      </c>
      <c r="X36" s="1810"/>
      <c r="Y36" s="3218"/>
      <c r="Z36" s="1811">
        <f t="shared" si="15"/>
        <v>111</v>
      </c>
      <c r="AA36" s="1808">
        <f t="shared" si="3"/>
        <v>1</v>
      </c>
      <c r="AB36" s="1808">
        <f t="shared" si="4"/>
        <v>1</v>
      </c>
      <c r="AC36" s="1808">
        <f t="shared" si="5"/>
        <v>1</v>
      </c>
    </row>
    <row r="37" spans="1:29" ht="15">
      <c r="A37" s="477" t="s">
        <v>2723</v>
      </c>
      <c r="B37" s="2687" t="s">
        <v>2724</v>
      </c>
      <c r="C37" s="1404" t="s">
        <v>1</v>
      </c>
      <c r="D37" s="1405"/>
      <c r="E37" s="1406"/>
      <c r="F37" s="1407"/>
      <c r="G37" s="1408"/>
      <c r="H37" s="1409"/>
      <c r="I37" s="1406"/>
      <c r="J37" s="1409"/>
      <c r="K37" s="617"/>
      <c r="L37" s="1141"/>
      <c r="M37" s="1142"/>
      <c r="N37" s="1129"/>
      <c r="O37" s="1142"/>
      <c r="P37" s="3200" t="str">
        <f>A37</f>
        <v>成交单价</v>
      </c>
      <c r="Q37" s="3200"/>
      <c r="R37" s="3231">
        <f>E37</f>
        <v>0</v>
      </c>
      <c r="S37" s="3231"/>
      <c r="T37" s="3231">
        <f>G37</f>
        <v>0</v>
      </c>
      <c r="U37" s="3231"/>
      <c r="V37" s="3231">
        <f>I37</f>
        <v>0</v>
      </c>
      <c r="W37" s="3231"/>
      <c r="X37" s="756"/>
      <c r="Y37" s="778"/>
      <c r="Z37" s="756"/>
      <c r="AA37" s="756"/>
      <c r="AB37" s="756"/>
      <c r="AC37" s="756"/>
    </row>
    <row r="38" spans="1:29" ht="15.75" thickBot="1">
      <c r="A38" s="484" t="s">
        <v>2725</v>
      </c>
      <c r="B38" s="485" t="str">
        <f>B37</f>
        <v>元/车位</v>
      </c>
      <c r="C38" s="1410" t="e">
        <f>R39</f>
        <v>#DIV/0!</v>
      </c>
      <c r="D38" s="1411"/>
      <c r="E38" s="1412" t="e">
        <f>R38</f>
        <v>#DIV/0!</v>
      </c>
      <c r="F38" s="1412"/>
      <c r="G38" s="1410" t="e">
        <f>T38</f>
        <v>#DIV/0!</v>
      </c>
      <c r="H38" s="1411"/>
      <c r="I38" s="1412" t="e">
        <f>V38</f>
        <v>#DIV/0!</v>
      </c>
      <c r="J38" s="1411"/>
      <c r="K38" s="618"/>
      <c r="L38" s="1141"/>
      <c r="M38" s="1142"/>
      <c r="N38" s="1142"/>
      <c r="O38" s="1142"/>
      <c r="P38" s="3200" t="str">
        <f>A38</f>
        <v>比较价值（元/平方米）</v>
      </c>
      <c r="Q38" s="3200"/>
      <c r="R38" s="3231" t="e">
        <f>IF(F1="售价",ROUND(PRODUCT(R37,AA7:AA36),0),ROUND(PRODUCT(R37,AA7:AA36),1))</f>
        <v>#DIV/0!</v>
      </c>
      <c r="S38" s="3231"/>
      <c r="T38" s="3231" t="e">
        <f>IF(F1="售价",ROUND(PRODUCT(T37,AB7:AB36),0),ROUND(PRODUCT(T37,AB7:AB36),1))</f>
        <v>#DIV/0!</v>
      </c>
      <c r="U38" s="3231"/>
      <c r="V38" s="3231" t="e">
        <f>IF(F1="售价",ROUND(PRODUCT(V37,AC7:AC36),0),ROUND(PRODUCT(V37,AC7:AC36),1))</f>
        <v>#DIV/0!</v>
      </c>
      <c r="W38" s="3231"/>
      <c r="X38" s="756"/>
      <c r="Y38" s="756"/>
      <c r="Z38" s="756"/>
      <c r="AA38" s="756"/>
      <c r="AB38" s="756"/>
      <c r="AC38" s="756"/>
    </row>
    <row r="39" spans="1:29" ht="15.75" thickBot="1">
      <c r="A39" s="490" t="s">
        <v>2726</v>
      </c>
      <c r="B39" s="491"/>
      <c r="C39" s="1414" t="e">
        <f>R39</f>
        <v>#DIV/0!</v>
      </c>
      <c r="D39" s="1414"/>
      <c r="E39" s="1414"/>
      <c r="F39" s="1414"/>
      <c r="G39" s="1414"/>
      <c r="H39" s="1414"/>
      <c r="I39" s="1414"/>
      <c r="J39" s="1414"/>
      <c r="K39" s="619"/>
      <c r="L39" s="1141"/>
      <c r="M39" s="1142"/>
      <c r="N39" s="1142"/>
      <c r="O39" s="1142"/>
      <c r="P39" s="3220" t="str">
        <f>A39</f>
        <v>估价对象XX用房的比较价值（楼面单价，元/平方米）</v>
      </c>
      <c r="Q39" s="3221"/>
      <c r="R39" s="3232" t="e">
        <f>IF(F1="售价",ROUND(AVERAGE(R38:V38),0),ROUND(AVERAGE(R38:V38),1))</f>
        <v>#DIV/0!</v>
      </c>
      <c r="S39" s="3232"/>
      <c r="T39" s="3232"/>
      <c r="U39" s="3232"/>
      <c r="V39" s="3232"/>
      <c r="W39" s="3232"/>
      <c r="X39" s="756"/>
      <c r="Y39" s="756"/>
      <c r="Z39" s="756"/>
      <c r="AA39" s="756"/>
      <c r="AB39" s="756"/>
      <c r="AC39" s="756"/>
    </row>
    <row r="40" spans="1:29">
      <c r="A40" s="1142"/>
      <c r="B40" s="1142"/>
      <c r="C40" s="1142"/>
      <c r="D40" s="1142"/>
      <c r="E40" s="1142"/>
      <c r="F40" s="1142"/>
      <c r="G40" s="1145"/>
      <c r="H40" s="1142"/>
      <c r="I40" s="1142"/>
      <c r="J40" s="1142"/>
      <c r="K40" s="1103"/>
      <c r="L40" s="1104"/>
      <c r="M40" s="1142"/>
      <c r="N40" s="1142"/>
      <c r="O40" s="1142"/>
      <c r="P40" s="1417"/>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7"/>
      <c r="Q41" s="1142"/>
      <c r="R41" s="1142"/>
      <c r="S41" s="1142"/>
      <c r="T41" s="1142"/>
      <c r="U41" s="1142"/>
      <c r="V41" s="1142"/>
      <c r="W41" s="1142"/>
      <c r="X41" s="1142"/>
      <c r="Y41" s="1142"/>
      <c r="Z41" s="1142"/>
      <c r="AA41" s="1142"/>
      <c r="AB41" s="1142"/>
      <c r="AC41" s="1142"/>
    </row>
    <row r="42" spans="1:29" ht="13.5" customHeight="1">
      <c r="A42" s="1142"/>
      <c r="B42" s="1142"/>
      <c r="C42" s="495" t="s">
        <v>2727</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3"/>
      <c r="L42" s="1104"/>
      <c r="M42" s="1142"/>
      <c r="N42" s="1142"/>
      <c r="O42" s="1142"/>
      <c r="P42" s="1417"/>
      <c r="Q42" s="1142"/>
      <c r="R42" s="1142"/>
      <c r="S42" s="1142"/>
      <c r="T42" s="1142"/>
      <c r="U42" s="1142"/>
      <c r="V42" s="1142"/>
      <c r="W42" s="1142"/>
      <c r="X42" s="1142"/>
      <c r="Y42" s="1142"/>
      <c r="Z42" s="1142"/>
      <c r="AA42" s="1142"/>
      <c r="AB42" s="1142"/>
      <c r="AC42" s="1142"/>
    </row>
    <row r="43" spans="1:29" ht="13.5" customHeight="1">
      <c r="A43" s="1142"/>
      <c r="B43" s="1142"/>
      <c r="C43" s="495" t="s">
        <v>2728</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3"/>
      <c r="L43" s="1104"/>
      <c r="M43" s="1142"/>
      <c r="N43" s="1142"/>
      <c r="O43" s="1142"/>
      <c r="P43" s="1417"/>
      <c r="Q43" s="1142"/>
      <c r="R43" s="1142"/>
      <c r="S43" s="1142"/>
      <c r="T43" s="1142"/>
      <c r="U43" s="1142"/>
      <c r="V43" s="1142"/>
      <c r="W43" s="1142"/>
      <c r="X43" s="1142"/>
      <c r="Y43" s="1142"/>
      <c r="Z43" s="1142"/>
      <c r="AA43" s="1142"/>
      <c r="AB43" s="1142"/>
      <c r="AC43" s="1142"/>
    </row>
    <row r="44" spans="1:29" s="500" customFormat="1" ht="13.5" customHeight="1">
      <c r="A44" s="1143"/>
      <c r="B44" s="1143"/>
      <c r="C44" s="495" t="s">
        <v>2729</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6"/>
      <c r="L44" s="1147"/>
      <c r="M44" s="1143"/>
      <c r="N44" s="1143"/>
      <c r="O44" s="1143"/>
      <c r="P44" s="1418"/>
      <c r="Q44" s="1143"/>
      <c r="R44" s="1143"/>
      <c r="S44" s="1143"/>
      <c r="T44" s="1143"/>
      <c r="U44" s="1143"/>
      <c r="V44" s="1143"/>
      <c r="W44" s="1143"/>
      <c r="X44" s="1143"/>
      <c r="Y44" s="1143"/>
      <c r="Z44" s="1143"/>
      <c r="AA44" s="1143"/>
      <c r="AB44" s="1143"/>
      <c r="AC44" s="1143"/>
    </row>
    <row r="45" spans="1:29" s="500" customFormat="1">
      <c r="A45" s="1143"/>
      <c r="B45" s="1144"/>
      <c r="C45" s="1148"/>
      <c r="D45" s="1143"/>
      <c r="E45" s="1143"/>
      <c r="F45" s="1143"/>
      <c r="G45" s="1143"/>
      <c r="H45" s="1143"/>
      <c r="I45" s="1143"/>
      <c r="J45" s="1143"/>
      <c r="K45" s="1146"/>
      <c r="L45" s="1147"/>
      <c r="M45" s="1143"/>
      <c r="N45" s="1143"/>
      <c r="O45" s="1143"/>
      <c r="P45" s="1418"/>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7"/>
      <c r="Q46" s="1142"/>
      <c r="R46" s="1142"/>
      <c r="S46" s="1142"/>
      <c r="T46" s="1142"/>
      <c r="U46" s="1142"/>
      <c r="V46" s="1142"/>
      <c r="W46" s="1142"/>
      <c r="X46" s="1142"/>
      <c r="Y46" s="1142"/>
      <c r="Z46" s="1142"/>
      <c r="AA46" s="1142"/>
      <c r="AB46" s="1142"/>
      <c r="AC46" s="1142"/>
    </row>
    <row r="47" spans="1:29" ht="21.75" thickBot="1">
      <c r="A47" s="1421" t="s">
        <v>2730</v>
      </c>
      <c r="B47" s="1142"/>
      <c r="C47" s="1157"/>
      <c r="D47" s="1157"/>
      <c r="E47" s="1157"/>
      <c r="F47" s="1422"/>
      <c r="G47" s="1422"/>
      <c r="H47" s="1157"/>
      <c r="I47" s="1157"/>
      <c r="J47" s="1157"/>
      <c r="K47" s="1158"/>
      <c r="L47" s="1159"/>
      <c r="M47" s="1157"/>
      <c r="N47" s="1157"/>
      <c r="O47" s="1157"/>
      <c r="P47" s="1419"/>
      <c r="Q47" s="1420"/>
      <c r="R47" s="1142"/>
      <c r="S47" s="1142"/>
      <c r="T47" s="1142"/>
      <c r="U47" s="1142"/>
      <c r="V47" s="1142"/>
      <c r="W47" s="1142"/>
      <c r="X47" s="1142"/>
      <c r="Y47" s="1142"/>
      <c r="Z47" s="1142"/>
      <c r="AA47" s="1142"/>
      <c r="AB47" s="1142"/>
      <c r="AC47" s="1142"/>
    </row>
    <row r="48" spans="1:29" s="506" customFormat="1" ht="15">
      <c r="A48" s="503" t="s">
        <v>2731</v>
      </c>
      <c r="B48" s="504"/>
      <c r="C48" s="1572" t="str">
        <f>YEAR(C7)&amp;"-"&amp;MONTH(C7)</f>
        <v>2017-11</v>
      </c>
      <c r="D48" s="1573">
        <f>EDATE(C48,-1)</f>
        <v>43009</v>
      </c>
      <c r="E48" s="1573">
        <f t="shared" ref="E48:O48" si="16">EDATE(D48,-1)</f>
        <v>42979</v>
      </c>
      <c r="F48" s="1573">
        <f t="shared" si="16"/>
        <v>42948</v>
      </c>
      <c r="G48" s="1573">
        <f t="shared" si="16"/>
        <v>42917</v>
      </c>
      <c r="H48" s="1573">
        <f t="shared" si="16"/>
        <v>42887</v>
      </c>
      <c r="I48" s="1573">
        <f t="shared" si="16"/>
        <v>42856</v>
      </c>
      <c r="J48" s="1573">
        <f t="shared" si="16"/>
        <v>42826</v>
      </c>
      <c r="K48" s="1573">
        <f t="shared" si="16"/>
        <v>42795</v>
      </c>
      <c r="L48" s="1573">
        <f t="shared" si="16"/>
        <v>42767</v>
      </c>
      <c r="M48" s="1573">
        <f t="shared" si="16"/>
        <v>42736</v>
      </c>
      <c r="N48" s="1573">
        <f t="shared" si="16"/>
        <v>42705</v>
      </c>
      <c r="O48" s="1573">
        <f t="shared" si="16"/>
        <v>42675</v>
      </c>
      <c r="P48" s="1435"/>
      <c r="Q48" s="1436"/>
      <c r="R48" s="1436"/>
      <c r="S48" s="1436"/>
      <c r="T48" s="1436"/>
      <c r="U48" s="1436"/>
      <c r="V48" s="1436"/>
      <c r="W48" s="1436"/>
      <c r="X48" s="1436"/>
      <c r="Y48" s="1436"/>
      <c r="Z48" s="1436"/>
      <c r="AA48" s="1436"/>
      <c r="AB48" s="1436"/>
      <c r="AC48" s="1436"/>
    </row>
    <row r="49" spans="1:29" s="115" customFormat="1" ht="15">
      <c r="A49" s="507"/>
      <c r="B49" s="508"/>
      <c r="C49" s="1564">
        <v>100</v>
      </c>
      <c r="D49" s="510"/>
      <c r="E49" s="510"/>
      <c r="F49" s="510"/>
      <c r="G49" s="510"/>
      <c r="H49" s="510"/>
      <c r="I49" s="510"/>
      <c r="J49" s="510"/>
      <c r="K49" s="510"/>
      <c r="L49" s="510"/>
      <c r="M49" s="511"/>
      <c r="N49" s="510"/>
      <c r="O49" s="511"/>
      <c r="P49" s="1425"/>
      <c r="Q49" s="1424"/>
      <c r="R49" s="1424"/>
      <c r="S49" s="1424"/>
      <c r="T49" s="1424"/>
      <c r="U49" s="1424"/>
      <c r="V49" s="1424"/>
      <c r="W49" s="1424"/>
      <c r="X49" s="1424"/>
      <c r="Y49" s="1424"/>
      <c r="Z49" s="1424"/>
      <c r="AA49" s="1424"/>
      <c r="AB49" s="1424"/>
      <c r="AC49" s="1424"/>
    </row>
    <row r="50" spans="1:29" s="115" customFormat="1" ht="15.75" thickBot="1">
      <c r="A50" s="513" t="s">
        <v>2588</v>
      </c>
      <c r="B50" s="514"/>
      <c r="C50" s="515"/>
      <c r="D50" s="516"/>
      <c r="E50" s="516"/>
      <c r="F50" s="516"/>
      <c r="G50" s="516"/>
      <c r="H50" s="516"/>
      <c r="I50" s="516"/>
      <c r="J50" s="516"/>
      <c r="K50" s="516"/>
      <c r="L50" s="516"/>
      <c r="M50" s="517"/>
      <c r="N50" s="516"/>
      <c r="O50" s="517"/>
      <c r="P50" s="1425"/>
      <c r="Q50" s="1420"/>
      <c r="R50" s="1424"/>
      <c r="S50" s="1424"/>
      <c r="T50" s="1424"/>
      <c r="U50" s="1424"/>
      <c r="V50" s="1424"/>
      <c r="W50" s="1424"/>
      <c r="X50" s="1424"/>
      <c r="Y50" s="1424"/>
      <c r="Z50" s="1424"/>
      <c r="AA50" s="1424"/>
      <c r="AB50" s="1424"/>
      <c r="AC50" s="1424"/>
    </row>
    <row r="51" spans="1:29" s="115" customFormat="1" ht="15">
      <c r="A51" s="519" t="s">
        <v>2553</v>
      </c>
      <c r="B51" s="508"/>
      <c r="C51" s="520" t="s">
        <v>2655</v>
      </c>
      <c r="D51" s="521"/>
      <c r="E51" s="521"/>
      <c r="F51" s="521"/>
      <c r="G51" s="521"/>
      <c r="H51" s="521"/>
      <c r="I51" s="521"/>
      <c r="J51" s="521"/>
      <c r="K51" s="521"/>
      <c r="L51" s="522"/>
      <c r="M51" s="523"/>
      <c r="N51" s="1149"/>
      <c r="O51" s="1149"/>
      <c r="P51" s="1423"/>
      <c r="Q51" s="1420"/>
      <c r="R51" s="1424"/>
      <c r="S51" s="1424"/>
      <c r="T51" s="1424"/>
      <c r="U51" s="1424"/>
      <c r="V51" s="1424"/>
      <c r="W51" s="1424"/>
      <c r="X51" s="1424"/>
      <c r="Y51" s="1424"/>
      <c r="Z51" s="1424"/>
      <c r="AA51" s="1424"/>
      <c r="AB51" s="1424"/>
      <c r="AC51" s="1424"/>
    </row>
    <row r="52" spans="1:29" s="115" customFormat="1" ht="15.75" thickBot="1">
      <c r="A52" s="519"/>
      <c r="B52" s="508"/>
      <c r="C52" s="637">
        <v>100</v>
      </c>
      <c r="D52" s="510"/>
      <c r="E52" s="510"/>
      <c r="F52" s="510"/>
      <c r="G52" s="510"/>
      <c r="H52" s="510"/>
      <c r="I52" s="510"/>
      <c r="J52" s="510"/>
      <c r="K52" s="510"/>
      <c r="L52" s="510"/>
      <c r="M52" s="512"/>
      <c r="N52" s="1149"/>
      <c r="O52" s="1149"/>
      <c r="P52" s="1425"/>
      <c r="Q52" s="1420"/>
      <c r="R52" s="1424"/>
      <c r="S52" s="1424"/>
      <c r="T52" s="1424"/>
      <c r="U52" s="1424"/>
      <c r="V52" s="1424"/>
      <c r="W52" s="1424"/>
      <c r="X52" s="1424"/>
      <c r="Y52" s="1424"/>
      <c r="Z52" s="1424"/>
      <c r="AA52" s="1424"/>
      <c r="AB52" s="1424"/>
      <c r="AC52" s="1424"/>
    </row>
    <row r="53" spans="1:29">
      <c r="A53" s="525" t="s">
        <v>2591</v>
      </c>
      <c r="B53" s="526" t="s">
        <v>2557</v>
      </c>
      <c r="C53" s="527">
        <f>C9</f>
        <v>0</v>
      </c>
      <c r="D53" s="528"/>
      <c r="E53" s="528"/>
      <c r="F53" s="528"/>
      <c r="G53" s="528"/>
      <c r="H53" s="528"/>
      <c r="I53" s="528"/>
      <c r="J53" s="528"/>
      <c r="K53" s="529"/>
      <c r="L53" s="530"/>
      <c r="M53" s="531"/>
      <c r="N53" s="1150"/>
      <c r="O53" s="1150"/>
      <c r="P53" s="1426"/>
      <c r="Q53" s="1420"/>
      <c r="R53" s="1142"/>
      <c r="S53" s="1142"/>
      <c r="T53" s="1142"/>
      <c r="U53" s="1142"/>
      <c r="V53" s="1142"/>
      <c r="W53" s="1142"/>
      <c r="X53" s="1142"/>
      <c r="Y53" s="1142"/>
      <c r="Z53" s="1142"/>
      <c r="AA53" s="1142"/>
      <c r="AB53" s="1142"/>
      <c r="AC53" s="1142"/>
    </row>
    <row r="54" spans="1:29" ht="15.75" thickBot="1">
      <c r="A54" s="532"/>
      <c r="B54" s="533"/>
      <c r="C54" s="534">
        <v>100</v>
      </c>
      <c r="D54" s="534"/>
      <c r="E54" s="534"/>
      <c r="F54" s="534"/>
      <c r="G54" s="534"/>
      <c r="H54" s="534"/>
      <c r="I54" s="534"/>
      <c r="J54" s="534"/>
      <c r="K54" s="534"/>
      <c r="L54" s="534"/>
      <c r="M54" s="535"/>
      <c r="N54" s="1151"/>
      <c r="O54" s="1151"/>
      <c r="P54" s="1426"/>
      <c r="Q54" s="1420"/>
      <c r="R54" s="1142"/>
      <c r="S54" s="1142"/>
      <c r="T54" s="1142"/>
      <c r="U54" s="1142"/>
      <c r="V54" s="1142"/>
      <c r="W54" s="1142"/>
      <c r="X54" s="1142"/>
      <c r="Y54" s="1142"/>
      <c r="Z54" s="1142"/>
      <c r="AA54" s="1142"/>
      <c r="AB54" s="1142"/>
      <c r="AC54" s="1142"/>
    </row>
    <row r="55" spans="1:29" ht="27.75" thickTop="1">
      <c r="A55" s="532"/>
      <c r="B55" s="536" t="s">
        <v>2560</v>
      </c>
      <c r="C55" s="537" t="s">
        <v>2592</v>
      </c>
      <c r="D55" s="537" t="s">
        <v>2593</v>
      </c>
      <c r="E55" s="537" t="s">
        <v>2594</v>
      </c>
      <c r="F55" s="537" t="s">
        <v>2595</v>
      </c>
      <c r="G55" s="537" t="s">
        <v>2596</v>
      </c>
      <c r="H55" s="537" t="s">
        <v>2597</v>
      </c>
      <c r="I55" s="537" t="s">
        <v>2598</v>
      </c>
      <c r="J55" s="537"/>
      <c r="K55" s="538"/>
      <c r="L55" s="539"/>
      <c r="M55" s="540"/>
      <c r="N55" s="1150"/>
      <c r="O55" s="1150"/>
      <c r="P55" s="1426"/>
      <c r="Q55" s="1420"/>
      <c r="R55" s="1142"/>
      <c r="S55" s="1142"/>
      <c r="T55" s="1142"/>
      <c r="U55" s="1142"/>
      <c r="V55" s="1142"/>
      <c r="W55" s="1142"/>
      <c r="X55" s="1142"/>
      <c r="Y55" s="1142"/>
      <c r="Z55" s="1142"/>
      <c r="AA55" s="1142"/>
      <c r="AB55" s="1142"/>
      <c r="AC55" s="1142"/>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1"/>
      <c r="O56" s="1151"/>
      <c r="P56" s="1426"/>
      <c r="Q56" s="1420"/>
      <c r="R56" s="1142"/>
      <c r="S56" s="1142"/>
      <c r="T56" s="1142"/>
      <c r="U56" s="1142"/>
      <c r="V56" s="1142"/>
      <c r="W56" s="1142"/>
      <c r="X56" s="1142"/>
      <c r="Y56" s="1142"/>
      <c r="Z56" s="1142"/>
      <c r="AA56" s="1142"/>
      <c r="AB56" s="1142"/>
      <c r="AC56" s="1142"/>
    </row>
    <row r="57" spans="1:29" ht="15.75" thickTop="1">
      <c r="A57" s="532"/>
      <c r="B57" s="658">
        <f>B11</f>
        <v>111</v>
      </c>
      <c r="C57" s="547"/>
      <c r="D57" s="547"/>
      <c r="E57" s="547"/>
      <c r="F57" s="547"/>
      <c r="G57" s="547"/>
      <c r="H57" s="547"/>
      <c r="I57" s="547"/>
      <c r="J57" s="547"/>
      <c r="K57" s="548"/>
      <c r="L57" s="549"/>
      <c r="M57" s="550"/>
      <c r="N57" s="1150"/>
      <c r="O57" s="1150"/>
      <c r="P57" s="1426"/>
      <c r="Q57" s="1420"/>
      <c r="R57" s="1142"/>
      <c r="S57" s="1142"/>
      <c r="T57" s="1142"/>
      <c r="U57" s="1142"/>
      <c r="V57" s="1142"/>
      <c r="W57" s="1142"/>
      <c r="X57" s="1142"/>
      <c r="Y57" s="1142"/>
      <c r="Z57" s="1142"/>
      <c r="AA57" s="1142"/>
      <c r="AB57" s="1142"/>
      <c r="AC57" s="1142"/>
    </row>
    <row r="58" spans="1:29" ht="15.75" thickBot="1">
      <c r="A58" s="532"/>
      <c r="B58" s="533"/>
      <c r="C58" s="558"/>
      <c r="D58" s="534"/>
      <c r="E58" s="534"/>
      <c r="F58" s="534"/>
      <c r="G58" s="534"/>
      <c r="H58" s="534"/>
      <c r="I58" s="534"/>
      <c r="J58" s="534"/>
      <c r="K58" s="534"/>
      <c r="L58" s="534"/>
      <c r="M58" s="535"/>
      <c r="N58" s="1151"/>
      <c r="O58" s="1151"/>
      <c r="P58" s="1426"/>
      <c r="Q58" s="1420"/>
      <c r="R58" s="1142"/>
      <c r="S58" s="1142"/>
      <c r="T58" s="1142"/>
      <c r="U58" s="1142"/>
      <c r="V58" s="1142"/>
      <c r="W58" s="1142"/>
      <c r="X58" s="1142"/>
      <c r="Y58" s="1142"/>
      <c r="Z58" s="1142"/>
      <c r="AA58" s="1142"/>
      <c r="AB58" s="1142"/>
      <c r="AC58" s="1142"/>
    </row>
    <row r="59" spans="1:29" s="469" customFormat="1" ht="15.75" thickTop="1">
      <c r="A59" s="551"/>
      <c r="B59" s="536">
        <f>B12</f>
        <v>111</v>
      </c>
      <c r="C59" s="547"/>
      <c r="D59" s="547"/>
      <c r="E59" s="547"/>
      <c r="F59" s="547"/>
      <c r="G59" s="552"/>
      <c r="H59" s="553"/>
      <c r="I59" s="553"/>
      <c r="J59" s="553"/>
      <c r="K59" s="553"/>
      <c r="L59" s="554"/>
      <c r="M59" s="555"/>
      <c r="N59" s="1152"/>
      <c r="O59" s="1152"/>
      <c r="P59" s="1427"/>
      <c r="Q59" s="1428"/>
      <c r="R59" s="1429"/>
      <c r="S59" s="1429"/>
      <c r="T59" s="1429"/>
      <c r="U59" s="1429"/>
      <c r="V59" s="1429"/>
      <c r="W59" s="1429"/>
      <c r="X59" s="1429"/>
      <c r="Y59" s="1429"/>
      <c r="Z59" s="1429"/>
      <c r="AA59" s="1429"/>
      <c r="AB59" s="1429"/>
      <c r="AC59" s="1429"/>
    </row>
    <row r="60" spans="1:29" s="469" customFormat="1" ht="15.75" thickBot="1">
      <c r="A60" s="551"/>
      <c r="B60" s="541"/>
      <c r="C60" s="558"/>
      <c r="D60" s="534"/>
      <c r="E60" s="534"/>
      <c r="F60" s="534"/>
      <c r="G60" s="534"/>
      <c r="H60" s="534"/>
      <c r="I60" s="534"/>
      <c r="J60" s="534"/>
      <c r="K60" s="534"/>
      <c r="L60" s="534"/>
      <c r="M60" s="535"/>
      <c r="N60" s="1151"/>
      <c r="O60" s="1151"/>
      <c r="P60" s="1427"/>
      <c r="Q60" s="1428"/>
      <c r="R60" s="1429"/>
      <c r="S60" s="1429"/>
      <c r="T60" s="1429"/>
      <c r="U60" s="1429"/>
      <c r="V60" s="1429"/>
      <c r="W60" s="1429"/>
      <c r="X60" s="1429"/>
      <c r="Y60" s="1429"/>
      <c r="Z60" s="1429"/>
      <c r="AA60" s="1429"/>
      <c r="AB60" s="1429"/>
      <c r="AC60" s="1429"/>
    </row>
    <row r="61" spans="1:29" s="469" customFormat="1" ht="15.75" thickTop="1">
      <c r="A61" s="551"/>
      <c r="B61" s="536">
        <f>B13</f>
        <v>111</v>
      </c>
      <c r="C61" s="552"/>
      <c r="D61" s="552"/>
      <c r="E61" s="552"/>
      <c r="F61" s="552"/>
      <c r="G61" s="552"/>
      <c r="H61" s="553"/>
      <c r="I61" s="553"/>
      <c r="J61" s="553"/>
      <c r="K61" s="553"/>
      <c r="L61" s="554"/>
      <c r="M61" s="555"/>
      <c r="N61" s="1152"/>
      <c r="O61" s="1152"/>
      <c r="P61" s="1430"/>
      <c r="Q61" s="1431"/>
      <c r="R61" s="1429"/>
      <c r="S61" s="1429"/>
      <c r="T61" s="1429"/>
      <c r="U61" s="1429"/>
      <c r="V61" s="1429"/>
      <c r="W61" s="1429"/>
      <c r="X61" s="1429"/>
      <c r="Y61" s="1429"/>
      <c r="Z61" s="1429"/>
      <c r="AA61" s="1429"/>
      <c r="AB61" s="1429"/>
      <c r="AC61" s="1429"/>
    </row>
    <row r="62" spans="1:29" s="469" customFormat="1" ht="15.75" thickBot="1">
      <c r="A62" s="551"/>
      <c r="B62" s="541"/>
      <c r="C62" s="558"/>
      <c r="D62" s="558"/>
      <c r="E62" s="558"/>
      <c r="F62" s="558"/>
      <c r="G62" s="558"/>
      <c r="H62" s="560"/>
      <c r="I62" s="560"/>
      <c r="J62" s="560"/>
      <c r="K62" s="560"/>
      <c r="L62" s="560"/>
      <c r="M62" s="561"/>
      <c r="N62" s="1152"/>
      <c r="O62" s="1152"/>
      <c r="P62" s="1427"/>
      <c r="Q62" s="1428"/>
      <c r="R62" s="1429"/>
      <c r="S62" s="1429"/>
      <c r="T62" s="1429"/>
      <c r="U62" s="1429"/>
      <c r="V62" s="1429"/>
      <c r="W62" s="1429"/>
      <c r="X62" s="1429"/>
      <c r="Y62" s="1429"/>
      <c r="Z62" s="1429"/>
      <c r="AA62" s="1429"/>
      <c r="AB62" s="1429"/>
      <c r="AC62" s="1429"/>
    </row>
    <row r="63" spans="1:29" ht="15" thickTop="1">
      <c r="A63" s="525" t="s">
        <v>2562</v>
      </c>
      <c r="B63" s="526" t="s">
        <v>2605</v>
      </c>
      <c r="C63" s="571" t="s">
        <v>2600</v>
      </c>
      <c r="D63" s="571" t="s">
        <v>2601</v>
      </c>
      <c r="E63" s="571" t="s">
        <v>2602</v>
      </c>
      <c r="F63" s="571" t="s">
        <v>2603</v>
      </c>
      <c r="G63" s="571" t="s">
        <v>2604</v>
      </c>
      <c r="H63" s="527"/>
      <c r="I63" s="527"/>
      <c r="J63" s="527"/>
      <c r="K63" s="572"/>
      <c r="L63" s="573"/>
      <c r="M63" s="574"/>
      <c r="N63" s="1150"/>
      <c r="O63" s="1150"/>
      <c r="P63" s="1432"/>
      <c r="Q63" s="1420"/>
      <c r="R63" s="1142"/>
      <c r="S63" s="1142"/>
      <c r="T63" s="1142"/>
      <c r="U63" s="1142"/>
      <c r="V63" s="1142"/>
      <c r="W63" s="1142"/>
      <c r="X63" s="1142"/>
      <c r="Y63" s="1142"/>
      <c r="Z63" s="1142"/>
      <c r="AA63" s="1142"/>
      <c r="AB63" s="1142"/>
      <c r="AC63" s="1142"/>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1"/>
      <c r="O64" s="1151"/>
      <c r="P64" s="1426"/>
      <c r="Q64" s="1420"/>
      <c r="R64" s="1142"/>
      <c r="S64" s="1142"/>
      <c r="T64" s="1142"/>
      <c r="U64" s="1142"/>
      <c r="V64" s="1142"/>
      <c r="W64" s="1142"/>
      <c r="X64" s="1142"/>
      <c r="Y64" s="1142"/>
      <c r="Z64" s="1142"/>
      <c r="AA64" s="1142"/>
      <c r="AB64" s="1142"/>
      <c r="AC64" s="1142"/>
    </row>
    <row r="65" spans="1:29" ht="15.75" thickTop="1">
      <c r="A65" s="532"/>
      <c r="B65" s="536" t="s">
        <v>2606</v>
      </c>
      <c r="C65" s="576" t="s">
        <v>2600</v>
      </c>
      <c r="D65" s="576" t="s">
        <v>2601</v>
      </c>
      <c r="E65" s="576" t="s">
        <v>2602</v>
      </c>
      <c r="F65" s="576" t="s">
        <v>2603</v>
      </c>
      <c r="G65" s="576" t="s">
        <v>2604</v>
      </c>
      <c r="H65" s="537"/>
      <c r="I65" s="537"/>
      <c r="J65" s="537"/>
      <c r="K65" s="538"/>
      <c r="L65" s="539"/>
      <c r="M65" s="540"/>
      <c r="N65" s="1150"/>
      <c r="O65" s="1150"/>
      <c r="P65" s="1426"/>
      <c r="Q65" s="1420"/>
      <c r="R65" s="1142"/>
      <c r="S65" s="1142"/>
      <c r="T65" s="1142"/>
      <c r="U65" s="1142"/>
      <c r="V65" s="1142"/>
      <c r="W65" s="1142"/>
      <c r="X65" s="1142"/>
      <c r="Y65" s="1142"/>
      <c r="Z65" s="1142"/>
      <c r="AA65" s="1142"/>
      <c r="AB65" s="1142"/>
      <c r="AC65" s="1142"/>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1"/>
      <c r="O66" s="1151"/>
      <c r="P66" s="1426"/>
      <c r="Q66" s="1420"/>
      <c r="R66" s="1142"/>
      <c r="S66" s="1142"/>
      <c r="T66" s="1142"/>
      <c r="U66" s="1142"/>
      <c r="V66" s="1142"/>
      <c r="W66" s="1142"/>
      <c r="X66" s="1142"/>
      <c r="Y66" s="1142"/>
      <c r="Z66" s="1142"/>
      <c r="AA66" s="1142"/>
      <c r="AB66" s="1142"/>
      <c r="AC66" s="1142"/>
    </row>
    <row r="67" spans="1:29" ht="15.75" thickTop="1">
      <c r="A67" s="532"/>
      <c r="B67" s="544" t="s">
        <v>2692</v>
      </c>
      <c r="C67" s="658" t="s">
        <v>2678</v>
      </c>
      <c r="D67" s="658" t="s">
        <v>2679</v>
      </c>
      <c r="E67" s="658" t="s">
        <v>2680</v>
      </c>
      <c r="F67" s="658" t="s">
        <v>2681</v>
      </c>
      <c r="G67" s="658" t="s">
        <v>2682</v>
      </c>
      <c r="H67" s="537"/>
      <c r="I67" s="537"/>
      <c r="J67" s="537"/>
      <c r="K67" s="537"/>
      <c r="L67" s="537"/>
      <c r="M67" s="1380"/>
      <c r="N67" s="1151"/>
      <c r="O67" s="1151"/>
      <c r="P67" s="1426"/>
      <c r="Q67" s="1420"/>
      <c r="R67" s="1142"/>
      <c r="S67" s="1142"/>
      <c r="T67" s="1142"/>
      <c r="U67" s="1142"/>
      <c r="V67" s="1142"/>
      <c r="W67" s="1142"/>
      <c r="X67" s="1142"/>
      <c r="Y67" s="1142"/>
      <c r="Z67" s="1142"/>
      <c r="AA67" s="1142"/>
      <c r="AB67" s="1142"/>
      <c r="AC67" s="1142"/>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1"/>
      <c r="O68" s="1151"/>
      <c r="P68" s="1426"/>
      <c r="Q68" s="1420"/>
      <c r="R68" s="1142"/>
      <c r="S68" s="1142"/>
      <c r="T68" s="1142"/>
      <c r="U68" s="1142"/>
      <c r="V68" s="1142"/>
      <c r="W68" s="1142"/>
      <c r="X68" s="1142"/>
      <c r="Y68" s="1142"/>
      <c r="Z68" s="1142"/>
      <c r="AA68" s="1142"/>
      <c r="AB68" s="1142"/>
      <c r="AC68" s="1142"/>
    </row>
    <row r="69" spans="1:29" ht="15.75" thickTop="1">
      <c r="A69" s="532"/>
      <c r="B69" s="536" t="s">
        <v>2612</v>
      </c>
      <c r="C69" s="576" t="s">
        <v>2600</v>
      </c>
      <c r="D69" s="576" t="s">
        <v>2601</v>
      </c>
      <c r="E69" s="576" t="s">
        <v>2602</v>
      </c>
      <c r="F69" s="576" t="s">
        <v>2603</v>
      </c>
      <c r="G69" s="576" t="s">
        <v>2604</v>
      </c>
      <c r="H69" s="537"/>
      <c r="I69" s="537"/>
      <c r="J69" s="537"/>
      <c r="K69" s="538"/>
      <c r="L69" s="539"/>
      <c r="M69" s="540"/>
      <c r="N69" s="1150"/>
      <c r="O69" s="1150"/>
      <c r="P69" s="1426"/>
      <c r="Q69" s="1420"/>
      <c r="R69" s="1142"/>
      <c r="S69" s="1142"/>
      <c r="T69" s="1142"/>
      <c r="U69" s="1142"/>
      <c r="V69" s="1142"/>
      <c r="W69" s="1142"/>
      <c r="X69" s="1142"/>
      <c r="Y69" s="1142"/>
      <c r="Z69" s="1142"/>
      <c r="AA69" s="1142"/>
      <c r="AB69" s="1142"/>
      <c r="AC69" s="1142"/>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1"/>
      <c r="O70" s="1151"/>
      <c r="P70" s="1426"/>
      <c r="Q70" s="1420"/>
      <c r="R70" s="1142"/>
      <c r="S70" s="1142"/>
      <c r="T70" s="1142"/>
      <c r="U70" s="1142"/>
      <c r="V70" s="1142"/>
      <c r="W70" s="1142"/>
      <c r="X70" s="1142"/>
      <c r="Y70" s="1142"/>
      <c r="Z70" s="1142"/>
      <c r="AA70" s="1142"/>
      <c r="AB70" s="1142"/>
      <c r="AC70" s="1142"/>
    </row>
    <row r="71" spans="1:29" ht="15.75" thickTop="1">
      <c r="A71" s="532"/>
      <c r="B71" s="536" t="s">
        <v>2732</v>
      </c>
      <c r="C71" s="552"/>
      <c r="D71" s="552"/>
      <c r="E71" s="552"/>
      <c r="F71" s="552"/>
      <c r="G71" s="552"/>
      <c r="H71" s="581"/>
      <c r="I71" s="581"/>
      <c r="J71" s="581"/>
      <c r="K71" s="582"/>
      <c r="L71" s="583"/>
      <c r="M71" s="584"/>
      <c r="N71" s="1150"/>
      <c r="O71" s="1150"/>
      <c r="P71" s="1426"/>
      <c r="Q71" s="1420"/>
      <c r="R71" s="1142"/>
      <c r="S71" s="1142"/>
      <c r="T71" s="1142"/>
      <c r="U71" s="1142"/>
      <c r="V71" s="1142"/>
      <c r="W71" s="1142"/>
      <c r="X71" s="1142"/>
      <c r="Y71" s="1142"/>
      <c r="Z71" s="1142"/>
      <c r="AA71" s="1142"/>
      <c r="AB71" s="1142"/>
      <c r="AC71" s="1142"/>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1"/>
      <c r="O72" s="1151"/>
      <c r="P72" s="1426"/>
      <c r="Q72" s="1420"/>
      <c r="R72" s="1142"/>
      <c r="S72" s="1142"/>
      <c r="T72" s="1142"/>
      <c r="U72" s="1142"/>
      <c r="V72" s="1142"/>
      <c r="W72" s="1142"/>
      <c r="X72" s="1142"/>
      <c r="Y72" s="1142"/>
      <c r="Z72" s="1142"/>
      <c r="AA72" s="1142"/>
      <c r="AB72" s="1142"/>
      <c r="AC72" s="1142"/>
    </row>
    <row r="73" spans="1:29" s="115" customFormat="1" ht="15.75" thickTop="1">
      <c r="A73" s="577"/>
      <c r="B73" s="536">
        <f>B23</f>
        <v>111</v>
      </c>
      <c r="C73" s="547"/>
      <c r="D73" s="547"/>
      <c r="E73" s="547"/>
      <c r="F73" s="547"/>
      <c r="G73" s="552"/>
      <c r="H73" s="552"/>
      <c r="I73" s="552"/>
      <c r="J73" s="552"/>
      <c r="K73" s="552"/>
      <c r="L73" s="578"/>
      <c r="M73" s="579"/>
      <c r="N73" s="1149"/>
      <c r="O73" s="1149"/>
      <c r="P73" s="1426"/>
      <c r="Q73" s="1420"/>
      <c r="R73" s="1424"/>
      <c r="S73" s="1424"/>
      <c r="T73" s="1424"/>
      <c r="U73" s="1424"/>
      <c r="V73" s="1424"/>
      <c r="W73" s="1424"/>
      <c r="X73" s="1424"/>
      <c r="Y73" s="1424"/>
      <c r="Z73" s="1424"/>
      <c r="AA73" s="1424"/>
      <c r="AB73" s="1424"/>
      <c r="AC73" s="1424"/>
    </row>
    <row r="74" spans="1:29" s="115" customFormat="1" ht="15.75" thickBot="1">
      <c r="A74" s="577"/>
      <c r="B74" s="541"/>
      <c r="C74" s="558"/>
      <c r="D74" s="534"/>
      <c r="E74" s="534"/>
      <c r="F74" s="534"/>
      <c r="G74" s="534"/>
      <c r="H74" s="534"/>
      <c r="I74" s="534"/>
      <c r="J74" s="534"/>
      <c r="K74" s="534"/>
      <c r="L74" s="534"/>
      <c r="M74" s="535"/>
      <c r="N74" s="1151"/>
      <c r="O74" s="1151"/>
      <c r="P74" s="1426"/>
      <c r="Q74" s="1420"/>
      <c r="R74" s="1424"/>
      <c r="S74" s="1424"/>
      <c r="T74" s="1424"/>
      <c r="U74" s="1424"/>
      <c r="V74" s="1424"/>
      <c r="W74" s="1424"/>
      <c r="X74" s="1424"/>
      <c r="Y74" s="1424"/>
      <c r="Z74" s="1424"/>
      <c r="AA74" s="1424"/>
      <c r="AB74" s="1424"/>
      <c r="AC74" s="1424"/>
    </row>
    <row r="75" spans="1:29" s="115" customFormat="1" ht="15.75" thickTop="1">
      <c r="A75" s="577"/>
      <c r="B75" s="536">
        <f>B24</f>
        <v>111</v>
      </c>
      <c r="C75" s="547"/>
      <c r="D75" s="547"/>
      <c r="E75" s="547"/>
      <c r="F75" s="547"/>
      <c r="G75" s="552"/>
      <c r="H75" s="552"/>
      <c r="I75" s="552"/>
      <c r="J75" s="552"/>
      <c r="K75" s="552"/>
      <c r="L75" s="552"/>
      <c r="M75" s="579"/>
      <c r="N75" s="1149"/>
      <c r="O75" s="1149"/>
      <c r="P75" s="1426"/>
      <c r="Q75" s="1420"/>
      <c r="R75" s="1424"/>
      <c r="S75" s="1424"/>
      <c r="T75" s="1424"/>
      <c r="U75" s="1424"/>
      <c r="V75" s="1424"/>
      <c r="W75" s="1424"/>
      <c r="X75" s="1424"/>
      <c r="Y75" s="1424"/>
      <c r="Z75" s="1424"/>
      <c r="AA75" s="1424"/>
      <c r="AB75" s="1424"/>
      <c r="AC75" s="1424"/>
    </row>
    <row r="76" spans="1:29" s="115" customFormat="1" ht="15.75" thickBot="1">
      <c r="A76" s="577"/>
      <c r="B76" s="541"/>
      <c r="C76" s="558"/>
      <c r="D76" s="534"/>
      <c r="E76" s="534"/>
      <c r="F76" s="534"/>
      <c r="G76" s="534"/>
      <c r="H76" s="534"/>
      <c r="I76" s="534"/>
      <c r="J76" s="534"/>
      <c r="K76" s="534"/>
      <c r="L76" s="534"/>
      <c r="M76" s="535"/>
      <c r="N76" s="1151"/>
      <c r="O76" s="1151"/>
      <c r="P76" s="1426"/>
      <c r="Q76" s="1420"/>
      <c r="R76" s="1424"/>
      <c r="S76" s="1424"/>
      <c r="T76" s="1424"/>
      <c r="U76" s="1424"/>
      <c r="V76" s="1424"/>
      <c r="W76" s="1424"/>
      <c r="X76" s="1424"/>
      <c r="Y76" s="1424"/>
      <c r="Z76" s="1424"/>
      <c r="AA76" s="1424"/>
      <c r="AB76" s="1424"/>
      <c r="AC76" s="1424"/>
    </row>
    <row r="77" spans="1:29" s="469" customFormat="1" ht="15.75" thickTop="1">
      <c r="A77" s="551"/>
      <c r="B77" s="536">
        <f>B25</f>
        <v>111</v>
      </c>
      <c r="C77" s="552"/>
      <c r="D77" s="552"/>
      <c r="E77" s="552"/>
      <c r="F77" s="552"/>
      <c r="G77" s="552"/>
      <c r="H77" s="553"/>
      <c r="I77" s="553"/>
      <c r="J77" s="553"/>
      <c r="K77" s="553"/>
      <c r="L77" s="554"/>
      <c r="M77" s="555"/>
      <c r="N77" s="1152"/>
      <c r="O77" s="1152"/>
      <c r="P77" s="1427"/>
      <c r="Q77" s="1428"/>
      <c r="R77" s="1429"/>
      <c r="S77" s="1429"/>
      <c r="T77" s="1429"/>
      <c r="U77" s="1429"/>
      <c r="V77" s="1429"/>
      <c r="W77" s="1429"/>
      <c r="X77" s="1429"/>
      <c r="Y77" s="1429"/>
      <c r="Z77" s="1429"/>
      <c r="AA77" s="1429"/>
      <c r="AB77" s="1429"/>
      <c r="AC77" s="1429"/>
    </row>
    <row r="78" spans="1:29" s="469" customFormat="1" ht="15.75" thickBot="1">
      <c r="A78" s="551"/>
      <c r="B78" s="541"/>
      <c r="C78" s="558"/>
      <c r="D78" s="558"/>
      <c r="E78" s="558"/>
      <c r="F78" s="558"/>
      <c r="G78" s="534"/>
      <c r="H78" s="534"/>
      <c r="I78" s="534"/>
      <c r="J78" s="534"/>
      <c r="K78" s="534"/>
      <c r="L78" s="534"/>
      <c r="M78" s="535"/>
      <c r="N78" s="1152"/>
      <c r="O78" s="1152"/>
      <c r="P78" s="1427"/>
      <c r="Q78" s="1428"/>
      <c r="R78" s="1429"/>
      <c r="S78" s="1429"/>
      <c r="T78" s="1429"/>
      <c r="U78" s="1429"/>
      <c r="V78" s="1429"/>
      <c r="W78" s="1429"/>
      <c r="X78" s="1429"/>
      <c r="Y78" s="1429"/>
      <c r="Z78" s="1429"/>
      <c r="AA78" s="1429"/>
      <c r="AB78" s="1429"/>
      <c r="AC78" s="1429"/>
    </row>
    <row r="79" spans="1:29" ht="27.75" thickTop="1">
      <c r="A79" s="525" t="s">
        <v>2566</v>
      </c>
      <c r="B79" s="526" t="s">
        <v>2733</v>
      </c>
      <c r="C79" s="527">
        <f>C26</f>
        <v>0</v>
      </c>
      <c r="D79" s="528"/>
      <c r="E79" s="528"/>
      <c r="F79" s="528"/>
      <c r="G79" s="528"/>
      <c r="H79" s="528"/>
      <c r="I79" s="528"/>
      <c r="J79" s="528"/>
      <c r="K79" s="529"/>
      <c r="L79" s="530"/>
      <c r="M79" s="531"/>
      <c r="N79" s="1150"/>
      <c r="O79" s="1150"/>
      <c r="P79" s="1426"/>
      <c r="Q79" s="1420"/>
      <c r="R79" s="1142"/>
      <c r="S79" s="1142"/>
      <c r="T79" s="1142"/>
      <c r="U79" s="1142"/>
      <c r="V79" s="1142"/>
      <c r="W79" s="1142"/>
      <c r="X79" s="1142"/>
      <c r="Y79" s="1142"/>
      <c r="Z79" s="1142"/>
      <c r="AA79" s="1142"/>
      <c r="AB79" s="1142"/>
      <c r="AC79" s="1142"/>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1"/>
      <c r="O80" s="1151"/>
      <c r="P80" s="1426"/>
      <c r="Q80" s="1420"/>
      <c r="R80" s="1142"/>
      <c r="S80" s="1142"/>
      <c r="T80" s="1142"/>
      <c r="U80" s="1142"/>
      <c r="V80" s="1142"/>
      <c r="W80" s="1142"/>
      <c r="X80" s="1142"/>
      <c r="Y80" s="1142"/>
      <c r="Z80" s="1142"/>
      <c r="AA80" s="1142"/>
      <c r="AB80" s="1142"/>
      <c r="AC80" s="1142"/>
    </row>
    <row r="81" spans="1:29" ht="15.75" thickTop="1">
      <c r="A81" s="532"/>
      <c r="B81" s="536" t="s">
        <v>2734</v>
      </c>
      <c r="C81" s="659"/>
      <c r="D81" s="659"/>
      <c r="E81" s="659"/>
      <c r="F81" s="659"/>
      <c r="G81" s="659"/>
      <c r="H81" s="659"/>
      <c r="I81" s="659"/>
      <c r="J81" s="659"/>
      <c r="K81" s="660"/>
      <c r="L81" s="661"/>
      <c r="M81" s="662"/>
      <c r="N81" s="1149"/>
      <c r="O81" s="1149"/>
      <c r="P81" s="1426"/>
      <c r="Q81" s="1420"/>
      <c r="R81" s="1142"/>
      <c r="S81" s="1142"/>
      <c r="T81" s="1142"/>
      <c r="U81" s="1142"/>
      <c r="V81" s="1142"/>
      <c r="W81" s="1142"/>
      <c r="X81" s="1142"/>
      <c r="Y81" s="1142"/>
      <c r="Z81" s="1142"/>
      <c r="AA81" s="1142"/>
      <c r="AB81" s="1142"/>
      <c r="AC81" s="1142"/>
    </row>
    <row r="82" spans="1:29" s="469" customFormat="1" ht="15.75" thickBot="1">
      <c r="A82" s="551"/>
      <c r="B82" s="541"/>
      <c r="C82" s="558"/>
      <c r="D82" s="534"/>
      <c r="E82" s="534"/>
      <c r="F82" s="534"/>
      <c r="G82" s="534"/>
      <c r="H82" s="534"/>
      <c r="I82" s="534"/>
      <c r="J82" s="534"/>
      <c r="K82" s="534"/>
      <c r="L82" s="534"/>
      <c r="M82" s="535"/>
      <c r="N82" s="1151"/>
      <c r="O82" s="1151"/>
      <c r="P82" s="1427"/>
      <c r="Q82" s="1428"/>
      <c r="R82" s="1429"/>
      <c r="S82" s="1429"/>
      <c r="T82" s="1429"/>
      <c r="U82" s="1429"/>
      <c r="V82" s="1429"/>
      <c r="W82" s="1429"/>
      <c r="X82" s="1429"/>
      <c r="Y82" s="1429"/>
      <c r="Z82" s="1429"/>
      <c r="AA82" s="1429"/>
      <c r="AB82" s="1429"/>
      <c r="AC82" s="1429"/>
    </row>
    <row r="83" spans="1:29" ht="15" thickTop="1">
      <c r="A83" s="597"/>
      <c r="B83" s="536" t="s">
        <v>2619</v>
      </c>
      <c r="C83" s="552"/>
      <c r="D83" s="552"/>
      <c r="E83" s="581"/>
      <c r="F83" s="581"/>
      <c r="G83" s="581"/>
      <c r="H83" s="581"/>
      <c r="I83" s="581"/>
      <c r="J83" s="581"/>
      <c r="K83" s="582"/>
      <c r="L83" s="583"/>
      <c r="M83" s="584"/>
      <c r="N83" s="1150"/>
      <c r="O83" s="1150"/>
      <c r="P83" s="1426"/>
      <c r="Q83" s="1420"/>
      <c r="R83" s="1142"/>
      <c r="S83" s="1142"/>
      <c r="T83" s="1142"/>
      <c r="U83" s="1142"/>
      <c r="V83" s="1142"/>
      <c r="W83" s="1142"/>
      <c r="X83" s="1142"/>
      <c r="Y83" s="1142"/>
      <c r="Z83" s="1142"/>
      <c r="AA83" s="1142"/>
      <c r="AB83" s="1142"/>
      <c r="AC83" s="1142"/>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1"/>
      <c r="O84" s="1151"/>
      <c r="P84" s="1426"/>
      <c r="Q84" s="1420"/>
      <c r="R84" s="1142"/>
      <c r="S84" s="1142"/>
      <c r="T84" s="1142"/>
      <c r="U84" s="1142"/>
      <c r="V84" s="1142"/>
      <c r="W84" s="1142"/>
      <c r="X84" s="1142"/>
      <c r="Y84" s="1142"/>
      <c r="Z84" s="1142"/>
      <c r="AA84" s="1142"/>
      <c r="AB84" s="1142"/>
      <c r="AC84" s="1142"/>
    </row>
    <row r="85" spans="1:29" ht="15" thickTop="1">
      <c r="A85" s="597"/>
      <c r="B85" s="536" t="s">
        <v>2735</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0"/>
      <c r="O85" s="1150"/>
      <c r="P85" s="1426"/>
      <c r="Q85" s="1420"/>
      <c r="R85" s="1142"/>
      <c r="S85" s="1142"/>
      <c r="T85" s="1142"/>
      <c r="U85" s="1142"/>
      <c r="V85" s="1142"/>
      <c r="W85" s="1142"/>
      <c r="X85" s="1142"/>
      <c r="Y85" s="1142"/>
      <c r="Z85" s="1142"/>
      <c r="AA85" s="1142"/>
      <c r="AB85" s="1142"/>
      <c r="AC85" s="1142"/>
    </row>
    <row r="86" spans="1:29">
      <c r="A86" s="597"/>
      <c r="B86" s="544"/>
      <c r="C86" s="601">
        <v>0.5</v>
      </c>
      <c r="D86" s="601">
        <v>0.6</v>
      </c>
      <c r="E86" s="601">
        <v>0.7</v>
      </c>
      <c r="F86" s="601">
        <v>0.8</v>
      </c>
      <c r="G86" s="601">
        <v>0.9</v>
      </c>
      <c r="H86" s="601">
        <v>1.0001</v>
      </c>
      <c r="I86" s="621"/>
      <c r="J86" s="621"/>
      <c r="K86" s="622"/>
      <c r="L86" s="623"/>
      <c r="M86" s="624"/>
      <c r="N86" s="1150"/>
      <c r="O86" s="1150"/>
      <c r="P86" s="1426"/>
      <c r="Q86" s="1420"/>
      <c r="R86" s="1142"/>
      <c r="S86" s="1142"/>
      <c r="T86" s="1142"/>
      <c r="U86" s="1142"/>
      <c r="V86" s="1142"/>
      <c r="W86" s="1142"/>
      <c r="X86" s="1142"/>
      <c r="Y86" s="1142"/>
      <c r="Z86" s="1142"/>
      <c r="AA86" s="1142"/>
      <c r="AB86" s="1142"/>
      <c r="AC86" s="1142"/>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1"/>
      <c r="O87" s="1151"/>
      <c r="P87" s="1426"/>
      <c r="Q87" s="1420"/>
      <c r="R87" s="1142"/>
      <c r="S87" s="1142"/>
      <c r="T87" s="1142"/>
      <c r="U87" s="1142"/>
      <c r="V87" s="1142"/>
      <c r="W87" s="1142"/>
      <c r="X87" s="1142"/>
      <c r="Y87" s="1142"/>
      <c r="Z87" s="1142"/>
      <c r="AA87" s="1142"/>
      <c r="AB87" s="1142"/>
      <c r="AC87" s="1142"/>
    </row>
    <row r="88" spans="1:29" ht="15" thickTop="1">
      <c r="A88" s="597"/>
      <c r="B88" s="544" t="s">
        <v>2736</v>
      </c>
      <c r="C88" s="528"/>
      <c r="D88" s="528"/>
      <c r="E88" s="528"/>
      <c r="F88" s="528"/>
      <c r="G88" s="528"/>
      <c r="H88" s="528"/>
      <c r="I88" s="528"/>
      <c r="J88" s="528"/>
      <c r="K88" s="529"/>
      <c r="L88" s="530"/>
      <c r="M88" s="531"/>
      <c r="N88" s="1150"/>
      <c r="O88" s="1150"/>
      <c r="P88" s="1426"/>
      <c r="Q88" s="1420"/>
      <c r="R88" s="1142"/>
      <c r="S88" s="1142"/>
      <c r="T88" s="1142"/>
      <c r="U88" s="1142"/>
      <c r="V88" s="1142"/>
      <c r="W88" s="1142"/>
      <c r="X88" s="1142"/>
      <c r="Y88" s="1142"/>
      <c r="Z88" s="1142"/>
      <c r="AA88" s="1142"/>
      <c r="AB88" s="1142"/>
      <c r="AC88" s="1142"/>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1"/>
      <c r="O89" s="1151"/>
      <c r="P89" s="1426"/>
      <c r="Q89" s="1420"/>
      <c r="R89" s="1142"/>
      <c r="S89" s="1142"/>
      <c r="T89" s="1142"/>
      <c r="U89" s="1142"/>
      <c r="V89" s="1142"/>
      <c r="W89" s="1142"/>
      <c r="X89" s="1142"/>
      <c r="Y89" s="1142"/>
      <c r="Z89" s="1142"/>
      <c r="AA89" s="1142"/>
      <c r="AB89" s="1142"/>
      <c r="AC89" s="1142"/>
    </row>
    <row r="90" spans="1:29" s="469" customFormat="1" ht="15" thickTop="1">
      <c r="A90" s="591"/>
      <c r="B90" s="536" t="s">
        <v>2737</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2"/>
      <c r="O90" s="1152"/>
      <c r="P90" s="1427"/>
      <c r="Q90" s="1428"/>
      <c r="R90" s="1429"/>
      <c r="S90" s="1429"/>
      <c r="T90" s="1429"/>
      <c r="U90" s="1429"/>
      <c r="V90" s="1429"/>
      <c r="W90" s="1429"/>
      <c r="X90" s="1429"/>
      <c r="Y90" s="1429"/>
      <c r="Z90" s="1429"/>
      <c r="AA90" s="1429"/>
      <c r="AB90" s="1429"/>
      <c r="AC90" s="1429"/>
    </row>
    <row r="91" spans="1:29" s="469" customFormat="1">
      <c r="A91" s="591"/>
      <c r="B91" s="544"/>
      <c r="C91" s="593"/>
      <c r="D91" s="593"/>
      <c r="E91" s="593"/>
      <c r="F91" s="593"/>
      <c r="G91" s="593"/>
      <c r="H91" s="593"/>
      <c r="I91" s="593"/>
      <c r="J91" s="594"/>
      <c r="K91" s="594"/>
      <c r="L91" s="595"/>
      <c r="M91" s="596"/>
      <c r="N91" s="1152"/>
      <c r="O91" s="1152"/>
      <c r="P91" s="1427"/>
      <c r="Q91" s="1428"/>
      <c r="R91" s="1429"/>
      <c r="S91" s="1429"/>
      <c r="T91" s="1429"/>
      <c r="U91" s="1429"/>
      <c r="V91" s="1429"/>
      <c r="W91" s="1429"/>
      <c r="X91" s="1429"/>
      <c r="Y91" s="1429"/>
      <c r="Z91" s="1429"/>
      <c r="AA91" s="1429"/>
      <c r="AB91" s="1429"/>
      <c r="AC91" s="1429"/>
    </row>
    <row r="92" spans="1:29" s="469" customFormat="1" ht="15.75" thickBot="1">
      <c r="A92" s="551"/>
      <c r="B92" s="541"/>
      <c r="C92" s="558"/>
      <c r="D92" s="534"/>
      <c r="E92" s="534"/>
      <c r="F92" s="534"/>
      <c r="G92" s="534"/>
      <c r="H92" s="534"/>
      <c r="I92" s="534"/>
      <c r="J92" s="534"/>
      <c r="K92" s="534"/>
      <c r="L92" s="534"/>
      <c r="M92" s="535"/>
      <c r="N92" s="1152"/>
      <c r="O92" s="1152"/>
      <c r="P92" s="1427"/>
      <c r="Q92" s="1428"/>
      <c r="R92" s="1429"/>
      <c r="S92" s="1429"/>
      <c r="T92" s="1429"/>
      <c r="U92" s="1429"/>
      <c r="V92" s="1429"/>
      <c r="W92" s="1429"/>
      <c r="X92" s="1429"/>
      <c r="Y92" s="1429"/>
      <c r="Z92" s="1429"/>
      <c r="AA92" s="1429"/>
      <c r="AB92" s="1429"/>
      <c r="AC92" s="1429"/>
    </row>
    <row r="93" spans="1:29" ht="15" thickTop="1">
      <c r="A93" s="597"/>
      <c r="B93" s="536" t="s">
        <v>2738</v>
      </c>
      <c r="C93" s="552"/>
      <c r="D93" s="552"/>
      <c r="E93" s="581"/>
      <c r="F93" s="581"/>
      <c r="G93" s="581"/>
      <c r="H93" s="581"/>
      <c r="I93" s="581"/>
      <c r="J93" s="581"/>
      <c r="K93" s="582"/>
      <c r="L93" s="583"/>
      <c r="M93" s="584"/>
      <c r="N93" s="1150"/>
      <c r="O93" s="1150"/>
      <c r="P93" s="1426"/>
      <c r="Q93" s="1420"/>
      <c r="R93" s="1142"/>
      <c r="S93" s="1142"/>
      <c r="T93" s="1142"/>
      <c r="U93" s="1142"/>
      <c r="V93" s="1142"/>
      <c r="W93" s="1142"/>
      <c r="X93" s="1142"/>
      <c r="Y93" s="1142"/>
      <c r="Z93" s="1142"/>
      <c r="AA93" s="1142"/>
      <c r="AB93" s="1142"/>
      <c r="AC93" s="1142"/>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1"/>
      <c r="O94" s="1151"/>
      <c r="P94" s="1426"/>
      <c r="Q94" s="1420"/>
      <c r="R94" s="1142"/>
      <c r="S94" s="1142"/>
      <c r="T94" s="1142"/>
      <c r="U94" s="1142"/>
      <c r="V94" s="1142"/>
      <c r="W94" s="1142"/>
      <c r="X94" s="1142"/>
      <c r="Y94" s="1142"/>
      <c r="Z94" s="1142"/>
      <c r="AA94" s="1142"/>
      <c r="AB94" s="1142"/>
      <c r="AC94" s="1142"/>
    </row>
    <row r="95" spans="1:29" ht="15" thickTop="1">
      <c r="A95" s="597"/>
      <c r="B95" s="536" t="s">
        <v>2739</v>
      </c>
      <c r="C95" s="528"/>
      <c r="D95" s="528"/>
      <c r="E95" s="528"/>
      <c r="F95" s="528"/>
      <c r="G95" s="528"/>
      <c r="H95" s="528"/>
      <c r="I95" s="528"/>
      <c r="J95" s="528"/>
      <c r="K95" s="529"/>
      <c r="L95" s="530"/>
      <c r="M95" s="531"/>
      <c r="N95" s="1150"/>
      <c r="O95" s="1150"/>
      <c r="P95" s="1426"/>
      <c r="Q95" s="1420"/>
      <c r="R95" s="1142"/>
      <c r="S95" s="1142"/>
      <c r="T95" s="1142"/>
      <c r="U95" s="1142"/>
      <c r="V95" s="1142"/>
      <c r="W95" s="1142"/>
      <c r="X95" s="1142"/>
      <c r="Y95" s="1142"/>
      <c r="Z95" s="1142"/>
      <c r="AA95" s="1142"/>
      <c r="AB95" s="1142"/>
      <c r="AC95" s="1142"/>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1"/>
      <c r="O96" s="1151"/>
      <c r="P96" s="1426"/>
      <c r="Q96" s="1420"/>
      <c r="R96" s="1142"/>
      <c r="S96" s="1142"/>
      <c r="T96" s="1142"/>
      <c r="U96" s="1142"/>
      <c r="V96" s="1142"/>
      <c r="W96" s="1142"/>
      <c r="X96" s="1142"/>
      <c r="Y96" s="1142"/>
      <c r="Z96" s="1142"/>
      <c r="AA96" s="1142"/>
      <c r="AB96" s="1142"/>
      <c r="AC96" s="1142"/>
    </row>
    <row r="97" spans="1:29" ht="15" thickTop="1">
      <c r="A97" s="597"/>
      <c r="B97" s="634">
        <f>B34</f>
        <v>111</v>
      </c>
      <c r="C97" s="547"/>
      <c r="D97" s="547"/>
      <c r="E97" s="547"/>
      <c r="F97" s="547"/>
      <c r="G97" s="552"/>
      <c r="H97" s="553"/>
      <c r="I97" s="553"/>
      <c r="J97" s="553"/>
      <c r="K97" s="553"/>
      <c r="L97" s="554"/>
      <c r="M97" s="555"/>
      <c r="N97" s="1151"/>
      <c r="O97" s="1151"/>
      <c r="P97" s="1433"/>
      <c r="Q97" s="1434"/>
      <c r="R97" s="1142"/>
      <c r="S97" s="1142"/>
      <c r="T97" s="1142"/>
      <c r="U97" s="1142"/>
      <c r="V97" s="1142"/>
      <c r="W97" s="1142"/>
      <c r="X97" s="1142"/>
      <c r="Y97" s="1142"/>
      <c r="Z97" s="1142"/>
      <c r="AA97" s="1142"/>
      <c r="AB97" s="1142"/>
      <c r="AC97" s="1142"/>
    </row>
    <row r="98" spans="1:29" ht="15.75" thickBot="1">
      <c r="A98" s="532"/>
      <c r="B98" s="541"/>
      <c r="C98" s="558"/>
      <c r="D98" s="534"/>
      <c r="E98" s="534"/>
      <c r="F98" s="534"/>
      <c r="G98" s="558"/>
      <c r="H98" s="560"/>
      <c r="I98" s="560"/>
      <c r="J98" s="560"/>
      <c r="K98" s="560"/>
      <c r="L98" s="560"/>
      <c r="M98" s="561"/>
      <c r="N98" s="1151"/>
      <c r="O98" s="1151"/>
      <c r="P98" s="1426"/>
      <c r="Q98" s="1420"/>
      <c r="R98" s="1142"/>
      <c r="S98" s="1142"/>
      <c r="T98" s="1142"/>
      <c r="U98" s="1142"/>
      <c r="V98" s="1142"/>
      <c r="W98" s="1142"/>
      <c r="X98" s="1142"/>
      <c r="Y98" s="1142"/>
      <c r="Z98" s="1142"/>
      <c r="AA98" s="1142"/>
      <c r="AB98" s="1142"/>
      <c r="AC98" s="1142"/>
    </row>
    <row r="99" spans="1:29" s="469" customFormat="1" ht="15" thickTop="1">
      <c r="A99" s="591"/>
      <c r="B99" s="536">
        <f>B35</f>
        <v>111</v>
      </c>
      <c r="C99" s="547"/>
      <c r="D99" s="547"/>
      <c r="E99" s="547"/>
      <c r="F99" s="547"/>
      <c r="G99" s="552"/>
      <c r="H99" s="553"/>
      <c r="I99" s="553"/>
      <c r="J99" s="553"/>
      <c r="K99" s="553"/>
      <c r="L99" s="554"/>
      <c r="M99" s="555"/>
      <c r="N99" s="1152"/>
      <c r="O99" s="1152"/>
      <c r="P99" s="1427"/>
      <c r="Q99" s="1428"/>
      <c r="R99" s="1429"/>
      <c r="S99" s="1429"/>
      <c r="T99" s="1429"/>
      <c r="U99" s="1429"/>
      <c r="V99" s="1429"/>
      <c r="W99" s="1429"/>
      <c r="X99" s="1429"/>
      <c r="Y99" s="1429"/>
      <c r="Z99" s="1429"/>
      <c r="AA99" s="1429"/>
      <c r="AB99" s="1429"/>
      <c r="AC99" s="1429"/>
    </row>
    <row r="100" spans="1:29" s="469" customFormat="1" ht="15.75" thickBot="1">
      <c r="A100" s="551"/>
      <c r="B100" s="533"/>
      <c r="C100" s="558"/>
      <c r="D100" s="534"/>
      <c r="E100" s="534"/>
      <c r="F100" s="534"/>
      <c r="G100" s="558"/>
      <c r="H100" s="560"/>
      <c r="I100" s="560"/>
      <c r="J100" s="560"/>
      <c r="K100" s="560"/>
      <c r="L100" s="560"/>
      <c r="M100" s="561"/>
      <c r="N100" s="1152"/>
      <c r="O100" s="1152"/>
      <c r="P100" s="1427"/>
      <c r="Q100" s="1428"/>
      <c r="R100" s="1429"/>
      <c r="S100" s="1429"/>
      <c r="T100" s="1429"/>
      <c r="U100" s="1429"/>
      <c r="V100" s="1429"/>
      <c r="W100" s="1429"/>
      <c r="X100" s="1429"/>
      <c r="Y100" s="1429"/>
      <c r="Z100" s="1429"/>
      <c r="AA100" s="1429"/>
      <c r="AB100" s="1429"/>
      <c r="AC100" s="1429"/>
    </row>
    <row r="101" spans="1:29" ht="15" thickTop="1">
      <c r="A101" s="597"/>
      <c r="B101" s="536">
        <f>B36</f>
        <v>111</v>
      </c>
      <c r="C101" s="552"/>
      <c r="D101" s="552"/>
      <c r="E101" s="552"/>
      <c r="F101" s="552"/>
      <c r="G101" s="552"/>
      <c r="H101" s="553"/>
      <c r="I101" s="553"/>
      <c r="J101" s="553"/>
      <c r="K101" s="553"/>
      <c r="L101" s="554"/>
      <c r="M101" s="555"/>
      <c r="N101" s="1150"/>
      <c r="O101" s="1150"/>
      <c r="P101" s="1426"/>
      <c r="Q101" s="1420"/>
      <c r="R101" s="1142"/>
      <c r="S101" s="1142"/>
      <c r="T101" s="1142"/>
      <c r="U101" s="1142"/>
      <c r="V101" s="1142"/>
      <c r="W101" s="1142"/>
      <c r="X101" s="1142"/>
      <c r="Y101" s="1142"/>
      <c r="Z101" s="1142"/>
      <c r="AA101" s="1142"/>
      <c r="AB101" s="1142"/>
      <c r="AC101" s="1142"/>
    </row>
    <row r="102" spans="1:29" ht="15.75" thickBot="1">
      <c r="A102" s="532"/>
      <c r="B102" s="541"/>
      <c r="C102" s="558"/>
      <c r="D102" s="558"/>
      <c r="E102" s="558"/>
      <c r="F102" s="558"/>
      <c r="G102" s="558"/>
      <c r="H102" s="560"/>
      <c r="I102" s="560"/>
      <c r="J102" s="560"/>
      <c r="K102" s="560"/>
      <c r="L102" s="560"/>
      <c r="M102" s="561"/>
      <c r="N102" s="1151"/>
      <c r="O102" s="1151"/>
      <c r="P102" s="1426"/>
      <c r="Q102" s="1420"/>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2710</v>
      </c>
      <c r="B1" s="1616"/>
      <c r="C1" s="1617" t="s">
        <v>2533</v>
      </c>
      <c r="D1" s="1618"/>
      <c r="E1" s="1627"/>
      <c r="F1" s="2578"/>
      <c r="G1" s="1628" t="s">
        <v>2646</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2333</v>
      </c>
      <c r="B2" s="1415" t="e">
        <f ca="1">IF(C2="——",ROUND(C37*D3/10000,0),ROUND(C37*D3/10000,0)-D2)</f>
        <v>#DIV/0!</v>
      </c>
      <c r="C2" s="2580"/>
      <c r="D2" s="1122" t="e">
        <f ca="1">SUMIF(INDIRECT("'"&amp;F2&amp;"'"&amp;"!A:A"),"承租人权益价值",INDIRECT("'"&amp;F2&amp;"'"&amp;"!c:c"))</f>
        <v>#REF!</v>
      </c>
      <c r="E2" s="2581" t="s">
        <v>2334</v>
      </c>
      <c r="F2" s="2582"/>
      <c r="G2" s="1123"/>
      <c r="H2" s="1123"/>
      <c r="I2" s="1123"/>
      <c r="J2" s="1123"/>
      <c r="K2" s="1125"/>
      <c r="L2" s="1126"/>
      <c r="M2" s="1127"/>
      <c r="N2" s="1127"/>
      <c r="O2" s="1127"/>
      <c r="P2" s="765"/>
      <c r="Q2" s="765"/>
      <c r="R2" s="765"/>
      <c r="S2" s="765"/>
      <c r="T2" s="765"/>
      <c r="U2" s="765"/>
      <c r="V2" s="765"/>
      <c r="W2" s="765"/>
      <c r="X2" s="765"/>
      <c r="Y2" s="765"/>
      <c r="Z2" s="765"/>
      <c r="AA2" s="765"/>
      <c r="AB2" s="765"/>
      <c r="AC2" s="766"/>
    </row>
    <row r="3" spans="1:29" s="396" customFormat="1" ht="28.5" customHeight="1" thickBot="1">
      <c r="A3" s="245" t="s">
        <v>2335</v>
      </c>
      <c r="B3" s="607" t="e">
        <f ca="1">IF(C2="——",C37,ROUND(B2*10000/D3,0))</f>
        <v>#DIV/0!</v>
      </c>
      <c r="C3" s="398" t="s">
        <v>2647</v>
      </c>
      <c r="D3" s="397">
        <f>SUMIF('数据-汇总表'!$C19:$C33,D1,'数据-汇总表'!$E19:$E33)</f>
        <v>0</v>
      </c>
      <c r="E3" s="1123"/>
      <c r="F3" s="1124"/>
      <c r="G3" s="1123"/>
      <c r="H3" s="1123"/>
      <c r="I3" s="1123"/>
      <c r="J3" s="1123"/>
      <c r="K3" s="1125"/>
      <c r="L3" s="1126"/>
      <c r="M3" s="1127"/>
      <c r="N3" s="1127"/>
      <c r="O3" s="1127"/>
      <c r="P3" s="765"/>
      <c r="Q3" s="765"/>
      <c r="R3" s="765"/>
      <c r="S3" s="765"/>
      <c r="T3" s="765"/>
      <c r="U3" s="765"/>
      <c r="V3" s="765"/>
      <c r="W3" s="765"/>
      <c r="X3" s="765"/>
      <c r="Y3" s="765"/>
      <c r="Z3" s="765"/>
      <c r="AA3" s="765"/>
      <c r="AB3" s="783"/>
      <c r="AC3" s="779"/>
    </row>
    <row r="4" spans="1:29" ht="15">
      <c r="A4" s="399" t="s">
        <v>2648</v>
      </c>
      <c r="B4" s="400"/>
      <c r="C4" s="3201" t="s">
        <v>2649</v>
      </c>
      <c r="D4" s="3202"/>
      <c r="E4" s="3203" t="s">
        <v>2650</v>
      </c>
      <c r="F4" s="3204"/>
      <c r="G4" s="3201" t="s">
        <v>2651</v>
      </c>
      <c r="H4" s="3202"/>
      <c r="I4" s="3201" t="s">
        <v>2652</v>
      </c>
      <c r="J4" s="3202"/>
      <c r="K4" s="608" t="s">
        <v>2653</v>
      </c>
      <c r="L4" s="1128"/>
      <c r="M4" s="1129"/>
      <c r="N4" s="1129"/>
      <c r="O4" s="1129"/>
      <c r="P4" s="3205" t="s">
        <v>2654</v>
      </c>
      <c r="Q4" s="3206"/>
      <c r="R4" s="3186" t="s">
        <v>2650</v>
      </c>
      <c r="S4" s="3187"/>
      <c r="T4" s="3186" t="s">
        <v>2651</v>
      </c>
      <c r="U4" s="3187"/>
      <c r="V4" s="3213" t="s">
        <v>2652</v>
      </c>
      <c r="W4" s="3213"/>
      <c r="X4" s="1810"/>
      <c r="Y4" s="3186" t="s">
        <v>2654</v>
      </c>
      <c r="Z4" s="3187"/>
      <c r="AA4" s="3181" t="s">
        <v>2650</v>
      </c>
      <c r="AB4" s="3182" t="s">
        <v>2651</v>
      </c>
      <c r="AC4" s="3181" t="s">
        <v>2652</v>
      </c>
    </row>
    <row r="5" spans="1:29" ht="15">
      <c r="A5" s="402"/>
      <c r="B5" s="403"/>
      <c r="C5" s="3192" t="s">
        <v>2545</v>
      </c>
      <c r="D5" s="3193"/>
      <c r="E5" s="3261" t="s">
        <v>2546</v>
      </c>
      <c r="F5" s="3191"/>
      <c r="G5" s="3192" t="s">
        <v>2547</v>
      </c>
      <c r="H5" s="3193"/>
      <c r="I5" s="3192" t="s">
        <v>2548</v>
      </c>
      <c r="J5" s="3193"/>
      <c r="K5" s="608"/>
      <c r="L5" s="1128"/>
      <c r="M5" s="1129"/>
      <c r="N5" s="1129"/>
      <c r="O5" s="1129"/>
      <c r="P5" s="3207"/>
      <c r="Q5" s="3208"/>
      <c r="R5" s="3188"/>
      <c r="S5" s="3189"/>
      <c r="T5" s="3188"/>
      <c r="U5" s="3189"/>
      <c r="V5" s="3213"/>
      <c r="W5" s="3213"/>
      <c r="X5" s="1810"/>
      <c r="Y5" s="3188"/>
      <c r="Z5" s="3189"/>
      <c r="AA5" s="3182"/>
      <c r="AB5" s="3182"/>
      <c r="AC5" s="3182"/>
    </row>
    <row r="6" spans="1:29" ht="15.75" thickBot="1">
      <c r="A6" s="404"/>
      <c r="B6" s="405"/>
      <c r="C6" s="3194" t="s">
        <v>2549</v>
      </c>
      <c r="D6" s="3195"/>
      <c r="E6" s="3262" t="s">
        <v>2549</v>
      </c>
      <c r="F6" s="3198"/>
      <c r="G6" s="3194" t="s">
        <v>2549</v>
      </c>
      <c r="H6" s="3195"/>
      <c r="I6" s="3194" t="s">
        <v>2549</v>
      </c>
      <c r="J6" s="3195"/>
      <c r="K6" s="608" t="s">
        <v>2550</v>
      </c>
      <c r="L6" s="1128"/>
      <c r="M6" s="1129"/>
      <c r="N6" s="1129"/>
      <c r="O6" s="1129"/>
      <c r="P6" s="3209"/>
      <c r="Q6" s="3210"/>
      <c r="R6" s="3188"/>
      <c r="S6" s="3189"/>
      <c r="T6" s="3211"/>
      <c r="U6" s="3212"/>
      <c r="V6" s="3213"/>
      <c r="W6" s="3213"/>
      <c r="X6" s="1810"/>
      <c r="Y6" s="3211"/>
      <c r="Z6" s="3212"/>
      <c r="AA6" s="3183"/>
      <c r="AB6" s="3183"/>
      <c r="AC6" s="3183"/>
    </row>
    <row r="7" spans="1:29" s="115" customFormat="1" ht="15.75" thickBot="1">
      <c r="A7" s="406" t="s">
        <v>2551</v>
      </c>
      <c r="B7" s="407"/>
      <c r="C7" s="408">
        <f>'数据-取费表'!B2</f>
        <v>43056</v>
      </c>
      <c r="D7" s="409">
        <v>100</v>
      </c>
      <c r="E7" s="410"/>
      <c r="F7" s="411">
        <f>SUMIF(46:46,YEAR(E7)&amp;"-"&amp;MONTH(E7),47:47)</f>
        <v>0</v>
      </c>
      <c r="G7" s="2688"/>
      <c r="H7" s="409">
        <f>SUMIF(46:46,YEAR(G7)&amp;"-"&amp;MONTH(G7),47:47)</f>
        <v>0</v>
      </c>
      <c r="I7" s="410"/>
      <c r="J7" s="409">
        <f>SUMIF(46:46,YEAR(I7)&amp;"-"&amp;MONTH(I7),47:47)</f>
        <v>0</v>
      </c>
      <c r="K7" s="609"/>
      <c r="L7" s="1130"/>
      <c r="M7" s="1131"/>
      <c r="N7" s="1131"/>
      <c r="O7" s="1131"/>
      <c r="P7" s="3184" t="s">
        <v>2552</v>
      </c>
      <c r="Q7" s="3214"/>
      <c r="R7" s="767" t="s">
        <v>17</v>
      </c>
      <c r="S7" s="768">
        <f t="shared" ref="S7:S14" si="0">F7</f>
        <v>0</v>
      </c>
      <c r="T7" s="767" t="s">
        <v>17</v>
      </c>
      <c r="U7" s="768">
        <f t="shared" ref="U7:U14" si="1">H7</f>
        <v>0</v>
      </c>
      <c r="V7" s="767" t="s">
        <v>17</v>
      </c>
      <c r="W7" s="768">
        <f t="shared" ref="W7:W14" si="2">J7</f>
        <v>0</v>
      </c>
      <c r="X7" s="769"/>
      <c r="Y7" s="3184" t="s">
        <v>2552</v>
      </c>
      <c r="Z7" s="3185"/>
      <c r="AA7" s="770" t="e">
        <f>D7/F7</f>
        <v>#DIV/0!</v>
      </c>
      <c r="AB7" s="770" t="e">
        <f>D7/H7</f>
        <v>#DIV/0!</v>
      </c>
      <c r="AC7" s="770" t="e">
        <f>D7/J7</f>
        <v>#DIV/0!</v>
      </c>
    </row>
    <row r="8" spans="1:29" s="115" customFormat="1" ht="15.75" thickBot="1">
      <c r="A8" s="406" t="s">
        <v>2553</v>
      </c>
      <c r="B8" s="407"/>
      <c r="C8" s="412" t="s">
        <v>2655</v>
      </c>
      <c r="D8" s="409">
        <v>100</v>
      </c>
      <c r="E8" s="412"/>
      <c r="F8" s="411">
        <f>SUMIF(49:49,E8,50:50)-SUMIF(49:49,C8,50:50)+100</f>
        <v>0</v>
      </c>
      <c r="G8" s="412"/>
      <c r="H8" s="409">
        <f>SUMIF(49:49,G8,50:50)-SUMIF(49:49,C8,50:50)+100</f>
        <v>0</v>
      </c>
      <c r="I8" s="412"/>
      <c r="J8" s="409">
        <f>SUMIF(49:49,I8,50:50)-SUMIF(49:49,C8,50:50)+100</f>
        <v>0</v>
      </c>
      <c r="K8" s="609"/>
      <c r="L8" s="1130"/>
      <c r="M8" s="1131"/>
      <c r="N8" s="1131"/>
      <c r="O8" s="1131"/>
      <c r="P8" s="3184" t="s">
        <v>2555</v>
      </c>
      <c r="Q8" s="3185"/>
      <c r="R8" s="767" t="s">
        <v>17</v>
      </c>
      <c r="S8" s="768">
        <f t="shared" si="0"/>
        <v>0</v>
      </c>
      <c r="T8" s="767" t="s">
        <v>17</v>
      </c>
      <c r="U8" s="768">
        <f t="shared" si="1"/>
        <v>0</v>
      </c>
      <c r="V8" s="767" t="s">
        <v>17</v>
      </c>
      <c r="W8" s="768">
        <f t="shared" si="2"/>
        <v>0</v>
      </c>
      <c r="X8" s="769"/>
      <c r="Y8" s="3184" t="s">
        <v>2555</v>
      </c>
      <c r="Z8" s="3185"/>
      <c r="AA8" s="770" t="e">
        <f t="shared" ref="AA8:AA34" si="3">D8/F8</f>
        <v>#DIV/0!</v>
      </c>
      <c r="AB8" s="770" t="e">
        <f t="shared" ref="AB8:AB34" si="4">D8/H8</f>
        <v>#DIV/0!</v>
      </c>
      <c r="AC8" s="770" t="e">
        <f t="shared" ref="AC8:AC34" si="5">D8/J8</f>
        <v>#DIV/0!</v>
      </c>
    </row>
    <row r="9" spans="1:29" s="115" customFormat="1">
      <c r="A9" s="413" t="s">
        <v>2556</v>
      </c>
      <c r="B9" s="70" t="s">
        <v>2557</v>
      </c>
      <c r="C9" s="414"/>
      <c r="D9" s="132">
        <v>100</v>
      </c>
      <c r="E9" s="417"/>
      <c r="F9" s="416">
        <f>SUMIF(51:51,E9,52:52)-SUMIF(51:51,C9,52:52)+100</f>
        <v>100</v>
      </c>
      <c r="G9" s="417"/>
      <c r="H9" s="132">
        <f>SUMIF(51:51,G9,52:52)-SUMIF(51:51,C9,52:52)+100</f>
        <v>100</v>
      </c>
      <c r="I9" s="417"/>
      <c r="J9" s="132">
        <f>SUMIF(51:51,I9,52:52)-SUMIF(51:51,C9,52:52)+100</f>
        <v>100</v>
      </c>
      <c r="K9" s="609"/>
      <c r="L9" s="1130"/>
      <c r="M9" s="1131"/>
      <c r="N9" s="1131"/>
      <c r="O9" s="1132"/>
      <c r="P9" s="3200" t="s">
        <v>2558</v>
      </c>
      <c r="Q9" s="1792" t="str">
        <f t="shared" ref="Q9:Q14" si="6">B9</f>
        <v>用途</v>
      </c>
      <c r="R9" s="767" t="s">
        <v>17</v>
      </c>
      <c r="S9" s="768">
        <f t="shared" si="0"/>
        <v>100</v>
      </c>
      <c r="T9" s="767" t="s">
        <v>17</v>
      </c>
      <c r="U9" s="768">
        <f t="shared" si="1"/>
        <v>100</v>
      </c>
      <c r="V9" s="767" t="s">
        <v>17</v>
      </c>
      <c r="W9" s="768">
        <f t="shared" si="2"/>
        <v>100</v>
      </c>
      <c r="X9" s="769"/>
      <c r="Y9" s="3058" t="s">
        <v>2559</v>
      </c>
      <c r="Z9" s="54" t="str">
        <f t="shared" ref="Z9:Z14" si="7">Q9</f>
        <v>用途</v>
      </c>
      <c r="AA9" s="770">
        <f t="shared" si="3"/>
        <v>1</v>
      </c>
      <c r="AB9" s="770">
        <f t="shared" si="4"/>
        <v>1</v>
      </c>
      <c r="AC9" s="770">
        <f t="shared" si="5"/>
        <v>1</v>
      </c>
    </row>
    <row r="10" spans="1:29" s="425" customFormat="1" ht="27">
      <c r="A10" s="419"/>
      <c r="B10" s="420" t="s">
        <v>2560</v>
      </c>
      <c r="C10" s="421"/>
      <c r="D10" s="133">
        <v>100</v>
      </c>
      <c r="E10" s="421"/>
      <c r="F10" s="423">
        <f>SUMIF(53:53,E10,54:54)-SUMIF(53:53,C10,54:54)+100</f>
        <v>100</v>
      </c>
      <c r="G10" s="421"/>
      <c r="H10" s="133">
        <f>SUMIF(53:53,G10,54:54)-SUMIF(53:53,C10,54:54)+100</f>
        <v>100</v>
      </c>
      <c r="I10" s="421"/>
      <c r="J10" s="133">
        <f>SUMIF(53:53,I10,54:54)-SUMIF(53:53,C10,54:54)+100</f>
        <v>100</v>
      </c>
      <c r="K10" s="610"/>
      <c r="L10" s="1133"/>
      <c r="M10" s="1134"/>
      <c r="N10" s="1134"/>
      <c r="O10" s="1135"/>
      <c r="P10" s="3200"/>
      <c r="Q10" s="1792" t="str">
        <f t="shared" si="6"/>
        <v>土地使用年限（年）</v>
      </c>
      <c r="R10" s="767" t="s">
        <v>17</v>
      </c>
      <c r="S10" s="768">
        <f t="shared" si="0"/>
        <v>100</v>
      </c>
      <c r="T10" s="767" t="s">
        <v>17</v>
      </c>
      <c r="U10" s="768">
        <f t="shared" si="1"/>
        <v>100</v>
      </c>
      <c r="V10" s="767" t="s">
        <v>17</v>
      </c>
      <c r="W10" s="768">
        <f t="shared" si="2"/>
        <v>100</v>
      </c>
      <c r="X10" s="769"/>
      <c r="Y10" s="3058"/>
      <c r="Z10" s="54" t="str">
        <f t="shared" si="7"/>
        <v>土地使用年限（年）</v>
      </c>
      <c r="AA10" s="770">
        <f t="shared" si="3"/>
        <v>1</v>
      </c>
      <c r="AB10" s="770">
        <f t="shared" si="4"/>
        <v>1</v>
      </c>
      <c r="AC10" s="770">
        <f t="shared" si="5"/>
        <v>1</v>
      </c>
    </row>
    <row r="11" spans="1:29" ht="15">
      <c r="A11" s="426"/>
      <c r="B11" s="2594">
        <v>111</v>
      </c>
      <c r="C11" s="430"/>
      <c r="D11" s="133">
        <v>100</v>
      </c>
      <c r="E11" s="467"/>
      <c r="F11" s="423">
        <f>SUMIF(55:55,E11,56:56)-SUMIF(55:55,C11,56:56)+100</f>
        <v>100</v>
      </c>
      <c r="G11" s="467"/>
      <c r="H11" s="133">
        <f>SUMIF(55:55,G11,56:56)-SUMIF(55:55,C11,56:56)+100</f>
        <v>100</v>
      </c>
      <c r="I11" s="467"/>
      <c r="J11" s="133">
        <f>SUMIF(55:55,I11,56:56)-SUMIF(55:55,C11,56:56)+100</f>
        <v>100</v>
      </c>
      <c r="K11" s="611"/>
      <c r="L11" s="1136"/>
      <c r="M11" s="1129"/>
      <c r="N11" s="1129"/>
      <c r="O11" s="1137"/>
      <c r="P11" s="3200"/>
      <c r="Q11" s="1792">
        <f t="shared" si="6"/>
        <v>111</v>
      </c>
      <c r="R11" s="767" t="s">
        <v>17</v>
      </c>
      <c r="S11" s="768">
        <f t="shared" si="0"/>
        <v>100</v>
      </c>
      <c r="T11" s="767" t="s">
        <v>17</v>
      </c>
      <c r="U11" s="768">
        <f t="shared" si="1"/>
        <v>100</v>
      </c>
      <c r="V11" s="767" t="s">
        <v>17</v>
      </c>
      <c r="W11" s="768">
        <f t="shared" si="2"/>
        <v>100</v>
      </c>
      <c r="X11" s="769"/>
      <c r="Y11" s="3058"/>
      <c r="Z11" s="54">
        <f t="shared" si="7"/>
        <v>111</v>
      </c>
      <c r="AA11" s="770">
        <f t="shared" si="3"/>
        <v>1</v>
      </c>
      <c r="AB11" s="770">
        <f t="shared" si="4"/>
        <v>1</v>
      </c>
      <c r="AC11" s="770">
        <f t="shared" si="5"/>
        <v>1</v>
      </c>
    </row>
    <row r="12" spans="1:29" s="115" customFormat="1" ht="15">
      <c r="A12" s="429"/>
      <c r="B12" s="2594">
        <v>111</v>
      </c>
      <c r="C12" s="430"/>
      <c r="D12" s="431">
        <v>100</v>
      </c>
      <c r="E12" s="467"/>
      <c r="F12" s="423">
        <f>SUMIF(57:57,E12,58:58)-SUMIF(57:57,C12,58:58)+100</f>
        <v>100</v>
      </c>
      <c r="G12" s="467"/>
      <c r="H12" s="133">
        <f>SUMIF(57:57,G12,58:58)-SUMIF(57:57,C12,58:58)+100</f>
        <v>100</v>
      </c>
      <c r="I12" s="467"/>
      <c r="J12" s="133">
        <f>SUMIF(57:57,I12,58:58)-SUMIF(57:57,C12,58:58)+100</f>
        <v>100</v>
      </c>
      <c r="K12" s="611"/>
      <c r="L12" s="1130"/>
      <c r="M12" s="1131"/>
      <c r="N12" s="1131"/>
      <c r="O12" s="1132"/>
      <c r="P12" s="3200"/>
      <c r="Q12" s="1792">
        <f t="shared" si="6"/>
        <v>111</v>
      </c>
      <c r="R12" s="767" t="s">
        <v>17</v>
      </c>
      <c r="S12" s="768">
        <f t="shared" si="0"/>
        <v>100</v>
      </c>
      <c r="T12" s="767" t="s">
        <v>17</v>
      </c>
      <c r="U12" s="768">
        <f t="shared" si="1"/>
        <v>100</v>
      </c>
      <c r="V12" s="767" t="s">
        <v>17</v>
      </c>
      <c r="W12" s="768">
        <f t="shared" si="2"/>
        <v>100</v>
      </c>
      <c r="X12" s="769"/>
      <c r="Y12" s="3058"/>
      <c r="Z12" s="54">
        <f t="shared" si="7"/>
        <v>111</v>
      </c>
      <c r="AA12" s="770">
        <f>D12/F12</f>
        <v>1</v>
      </c>
      <c r="AB12" s="770">
        <f>D12/H12</f>
        <v>1</v>
      </c>
      <c r="AC12" s="770">
        <f>D12/J12</f>
        <v>1</v>
      </c>
    </row>
    <row r="13" spans="1:29" ht="15.75" thickBot="1">
      <c r="A13" s="426"/>
      <c r="B13" s="2594">
        <v>111</v>
      </c>
      <c r="C13" s="432"/>
      <c r="D13" s="433">
        <v>100</v>
      </c>
      <c r="E13" s="467"/>
      <c r="F13" s="423">
        <f>SUMIF(59:59,E13,60:60)-SUMIF(59:59,C13,60:60)+100</f>
        <v>100</v>
      </c>
      <c r="G13" s="2689"/>
      <c r="H13" s="436">
        <f>SUMIF(59:59,G13,60:60)-SUMIF(59:59,C13,60:60)+100</f>
        <v>100</v>
      </c>
      <c r="I13" s="467"/>
      <c r="J13" s="433">
        <f>SUMIF(59:59,I13,60:60)-SUMIF(59:59,C13,60:60)+100</f>
        <v>100</v>
      </c>
      <c r="K13" s="611"/>
      <c r="L13" s="1138"/>
      <c r="M13" s="1129"/>
      <c r="N13" s="1129"/>
      <c r="O13" s="1137"/>
      <c r="P13" s="3200"/>
      <c r="Q13" s="1792">
        <f t="shared" si="6"/>
        <v>111</v>
      </c>
      <c r="R13" s="767" t="s">
        <v>17</v>
      </c>
      <c r="S13" s="768">
        <f t="shared" si="0"/>
        <v>100</v>
      </c>
      <c r="T13" s="767" t="s">
        <v>17</v>
      </c>
      <c r="U13" s="768">
        <f t="shared" si="1"/>
        <v>100</v>
      </c>
      <c r="V13" s="767" t="s">
        <v>17</v>
      </c>
      <c r="W13" s="768">
        <f t="shared" si="2"/>
        <v>100</v>
      </c>
      <c r="X13" s="769"/>
      <c r="Y13" s="3058"/>
      <c r="Z13" s="54">
        <f t="shared" si="7"/>
        <v>111</v>
      </c>
      <c r="AA13" s="770">
        <f t="shared" si="3"/>
        <v>1</v>
      </c>
      <c r="AB13" s="770">
        <f t="shared" si="4"/>
        <v>1</v>
      </c>
      <c r="AC13" s="770">
        <f t="shared" si="5"/>
        <v>1</v>
      </c>
    </row>
    <row r="14" spans="1:29" ht="85.5">
      <c r="A14" s="438" t="s">
        <v>2562</v>
      </c>
      <c r="B14" s="68" t="s">
        <v>2712</v>
      </c>
      <c r="C14" s="2685"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8"/>
      <c r="M14" s="1129"/>
      <c r="N14" s="1129"/>
      <c r="O14" s="1137"/>
      <c r="P14" s="3215" t="s">
        <v>2563</v>
      </c>
      <c r="Q14" s="1807" t="str">
        <f t="shared" si="6"/>
        <v>交通便捷度</v>
      </c>
      <c r="R14" s="771" t="s">
        <v>17</v>
      </c>
      <c r="S14" s="772">
        <f t="shared" si="0"/>
        <v>100</v>
      </c>
      <c r="T14" s="771" t="s">
        <v>17</v>
      </c>
      <c r="U14" s="772">
        <f t="shared" si="1"/>
        <v>100</v>
      </c>
      <c r="V14" s="771" t="s">
        <v>17</v>
      </c>
      <c r="W14" s="772">
        <f t="shared" si="2"/>
        <v>100</v>
      </c>
      <c r="X14" s="1810"/>
      <c r="Y14" s="3215" t="s">
        <v>2563</v>
      </c>
      <c r="Z14" s="1811" t="str">
        <f t="shared" si="7"/>
        <v>交通便捷度</v>
      </c>
      <c r="AA14" s="1808">
        <f t="shared" si="3"/>
        <v>1</v>
      </c>
      <c r="AB14" s="1808">
        <f t="shared" si="4"/>
        <v>1</v>
      </c>
      <c r="AC14" s="1808">
        <f t="shared" si="5"/>
        <v>1</v>
      </c>
    </row>
    <row r="15" spans="1:29" ht="15">
      <c r="A15" s="426"/>
      <c r="B15" s="444"/>
      <c r="C15" s="445"/>
      <c r="D15" s="446"/>
      <c r="E15" s="445"/>
      <c r="F15" s="447"/>
      <c r="G15" s="445"/>
      <c r="H15" s="448"/>
      <c r="I15" s="445"/>
      <c r="J15" s="446"/>
      <c r="K15" s="613"/>
      <c r="L15" s="1138"/>
      <c r="M15" s="1129"/>
      <c r="N15" s="1129"/>
      <c r="O15" s="1137"/>
      <c r="P15" s="3216"/>
      <c r="Q15" s="1807"/>
      <c r="R15" s="771"/>
      <c r="S15" s="772"/>
      <c r="T15" s="771"/>
      <c r="U15" s="772"/>
      <c r="V15" s="771"/>
      <c r="W15" s="772"/>
      <c r="X15" s="1810"/>
      <c r="Y15" s="3216"/>
      <c r="Z15" s="1811"/>
      <c r="AA15" s="1808">
        <v>1</v>
      </c>
      <c r="AB15" s="1808">
        <v>1</v>
      </c>
      <c r="AC15" s="1808">
        <v>1</v>
      </c>
    </row>
    <row r="16" spans="1:29" ht="42.75">
      <c r="A16" s="426"/>
      <c r="B16" s="449" t="s">
        <v>2691</v>
      </c>
      <c r="C16" s="2601"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8"/>
      <c r="M16" s="1129"/>
      <c r="N16" s="1129"/>
      <c r="O16" s="1137"/>
      <c r="P16" s="3216"/>
      <c r="Q16" s="1807" t="str">
        <f>B16</f>
        <v>公共配套设施</v>
      </c>
      <c r="R16" s="771" t="s">
        <v>17</v>
      </c>
      <c r="S16" s="772">
        <f>F16</f>
        <v>100</v>
      </c>
      <c r="T16" s="771" t="s">
        <v>17</v>
      </c>
      <c r="U16" s="772">
        <f>H16</f>
        <v>100</v>
      </c>
      <c r="V16" s="771" t="s">
        <v>17</v>
      </c>
      <c r="W16" s="772">
        <f>J16</f>
        <v>100</v>
      </c>
      <c r="X16" s="1810"/>
      <c r="Y16" s="3216"/>
      <c r="Z16" s="1811" t="str">
        <f>Q16</f>
        <v>公共配套设施</v>
      </c>
      <c r="AA16" s="1808">
        <f t="shared" si="3"/>
        <v>1</v>
      </c>
      <c r="AB16" s="1808">
        <f t="shared" si="4"/>
        <v>1</v>
      </c>
      <c r="AC16" s="1808">
        <f t="shared" si="5"/>
        <v>1</v>
      </c>
    </row>
    <row r="17" spans="1:29" ht="15">
      <c r="A17" s="426"/>
      <c r="B17" s="454"/>
      <c r="C17" s="2602"/>
      <c r="D17" s="446"/>
      <c r="E17" s="445"/>
      <c r="F17" s="447"/>
      <c r="G17" s="445"/>
      <c r="H17" s="446"/>
      <c r="I17" s="445"/>
      <c r="J17" s="446"/>
      <c r="K17" s="613"/>
      <c r="L17" s="1138"/>
      <c r="M17" s="1129"/>
      <c r="N17" s="1129"/>
      <c r="O17" s="1137"/>
      <c r="P17" s="3216"/>
      <c r="Q17" s="1807"/>
      <c r="R17" s="771"/>
      <c r="S17" s="772"/>
      <c r="T17" s="771"/>
      <c r="U17" s="772"/>
      <c r="V17" s="771"/>
      <c r="W17" s="772"/>
      <c r="X17" s="1810"/>
      <c r="Y17" s="3216"/>
      <c r="Z17" s="1811"/>
      <c r="AA17" s="1808">
        <v>1</v>
      </c>
      <c r="AB17" s="1808">
        <v>1</v>
      </c>
      <c r="AC17" s="1808">
        <v>1</v>
      </c>
    </row>
    <row r="18" spans="1:29" ht="28.5">
      <c r="A18" s="426"/>
      <c r="B18" s="1382" t="s">
        <v>2692</v>
      </c>
      <c r="C18" s="2601"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8"/>
      <c r="M18" s="1129"/>
      <c r="N18" s="1129"/>
      <c r="O18" s="1137"/>
      <c r="P18" s="3216"/>
      <c r="Q18" s="1807" t="str">
        <f>B18</f>
        <v>基础设施水平</v>
      </c>
      <c r="R18" s="771" t="s">
        <v>17</v>
      </c>
      <c r="S18" s="772">
        <f>F18</f>
        <v>100</v>
      </c>
      <c r="T18" s="771" t="s">
        <v>17</v>
      </c>
      <c r="U18" s="772">
        <f>H18</f>
        <v>100</v>
      </c>
      <c r="V18" s="771" t="s">
        <v>17</v>
      </c>
      <c r="W18" s="772">
        <f>J18</f>
        <v>100</v>
      </c>
      <c r="X18" s="1810"/>
      <c r="Y18" s="3216"/>
      <c r="Z18" s="1811" t="str">
        <f>Q18</f>
        <v>基础设施水平</v>
      </c>
      <c r="AA18" s="1808">
        <f t="shared" ref="AA18" si="8">D18/F18</f>
        <v>1</v>
      </c>
      <c r="AB18" s="1808">
        <f t="shared" ref="AB18" si="9">D18/H18</f>
        <v>1</v>
      </c>
      <c r="AC18" s="1808">
        <f t="shared" ref="AC18" si="10">D18/J18</f>
        <v>1</v>
      </c>
    </row>
    <row r="19" spans="1:29" ht="15">
      <c r="A19" s="426"/>
      <c r="B19" s="1382"/>
      <c r="C19" s="2602"/>
      <c r="D19" s="448"/>
      <c r="E19" s="2602"/>
      <c r="F19" s="451"/>
      <c r="G19" s="2602"/>
      <c r="H19" s="446"/>
      <c r="I19" s="445"/>
      <c r="J19" s="446"/>
      <c r="K19" s="1381"/>
      <c r="L19" s="1138"/>
      <c r="M19" s="1129"/>
      <c r="N19" s="1129"/>
      <c r="O19" s="1137"/>
      <c r="P19" s="3216"/>
      <c r="Q19" s="1807"/>
      <c r="R19" s="771"/>
      <c r="S19" s="772"/>
      <c r="T19" s="771"/>
      <c r="U19" s="772"/>
      <c r="V19" s="771"/>
      <c r="W19" s="772"/>
      <c r="X19" s="1810"/>
      <c r="Y19" s="3216"/>
      <c r="Z19" s="1811"/>
      <c r="AA19" s="1808">
        <v>1</v>
      </c>
      <c r="AB19" s="1808">
        <v>1</v>
      </c>
      <c r="AC19" s="1808">
        <v>1</v>
      </c>
    </row>
    <row r="20" spans="1:29" ht="57">
      <c r="A20" s="426"/>
      <c r="B20" s="449" t="s">
        <v>2713</v>
      </c>
      <c r="C20" s="2601"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8"/>
      <c r="M20" s="1129"/>
      <c r="N20" s="1129"/>
      <c r="O20" s="1137"/>
      <c r="P20" s="3216"/>
      <c r="Q20" s="1807" t="str">
        <f>B20</f>
        <v>自然及人文环境</v>
      </c>
      <c r="R20" s="771" t="s">
        <v>17</v>
      </c>
      <c r="S20" s="772">
        <f>F20</f>
        <v>100</v>
      </c>
      <c r="T20" s="771" t="s">
        <v>17</v>
      </c>
      <c r="U20" s="772">
        <f>H20</f>
        <v>100</v>
      </c>
      <c r="V20" s="771" t="s">
        <v>17</v>
      </c>
      <c r="W20" s="772">
        <f>J20</f>
        <v>100</v>
      </c>
      <c r="X20" s="1810"/>
      <c r="Y20" s="3216"/>
      <c r="Z20" s="1811" t="str">
        <f>Q20</f>
        <v>自然及人文环境</v>
      </c>
      <c r="AA20" s="1808">
        <f t="shared" si="3"/>
        <v>1</v>
      </c>
      <c r="AB20" s="1808">
        <f t="shared" si="4"/>
        <v>1</v>
      </c>
      <c r="AC20" s="1808">
        <f t="shared" si="5"/>
        <v>1</v>
      </c>
    </row>
    <row r="21" spans="1:29" ht="15">
      <c r="A21" s="426"/>
      <c r="B21" s="454"/>
      <c r="C21" s="445"/>
      <c r="D21" s="446"/>
      <c r="E21" s="445"/>
      <c r="F21" s="447"/>
      <c r="G21" s="445"/>
      <c r="H21" s="446"/>
      <c r="I21" s="445"/>
      <c r="J21" s="446"/>
      <c r="K21" s="613"/>
      <c r="L21" s="1138"/>
      <c r="M21" s="1129"/>
      <c r="N21" s="1129"/>
      <c r="O21" s="1137"/>
      <c r="P21" s="3216"/>
      <c r="Q21" s="1807"/>
      <c r="R21" s="771"/>
      <c r="S21" s="772"/>
      <c r="T21" s="771"/>
      <c r="U21" s="772"/>
      <c r="V21" s="771"/>
      <c r="W21" s="772"/>
      <c r="X21" s="1810"/>
      <c r="Y21" s="3216"/>
      <c r="Z21" s="1811"/>
      <c r="AA21" s="1808">
        <v>1</v>
      </c>
      <c r="AB21" s="1808">
        <v>1</v>
      </c>
      <c r="AC21" s="1808">
        <v>1</v>
      </c>
    </row>
    <row r="22" spans="1:29" ht="15">
      <c r="A22" s="426"/>
      <c r="B22" s="449" t="s">
        <v>2714</v>
      </c>
      <c r="C22" s="614"/>
      <c r="D22" s="448">
        <v>100</v>
      </c>
      <c r="E22" s="614"/>
      <c r="F22" s="459">
        <f>SUMIF(69:69,E22,70:70)-SUMIF(69:69,C22,70:70)+100</f>
        <v>100</v>
      </c>
      <c r="G22" s="614"/>
      <c r="H22" s="433">
        <f>SUMIF(69:69,G22,70:70)-SUMIF(69:69,C22,70:70)+100</f>
        <v>100</v>
      </c>
      <c r="I22" s="614"/>
      <c r="J22" s="433">
        <f>SUMIF(69:69,I22,70:70)-SUMIF(69:69,C22,70:70)+100</f>
        <v>100</v>
      </c>
      <c r="K22" s="610"/>
      <c r="L22" s="1138"/>
      <c r="M22" s="1129"/>
      <c r="N22" s="1129"/>
      <c r="O22" s="1137"/>
      <c r="P22" s="3216"/>
      <c r="Q22" s="1807" t="str">
        <f>B22</f>
        <v>楼层</v>
      </c>
      <c r="R22" s="771" t="s">
        <v>17</v>
      </c>
      <c r="S22" s="772">
        <f>F22</f>
        <v>100</v>
      </c>
      <c r="T22" s="771" t="s">
        <v>17</v>
      </c>
      <c r="U22" s="772">
        <f>H22</f>
        <v>100</v>
      </c>
      <c r="V22" s="771" t="s">
        <v>17</v>
      </c>
      <c r="W22" s="772">
        <f>J22</f>
        <v>100</v>
      </c>
      <c r="X22" s="1810"/>
      <c r="Y22" s="3216"/>
      <c r="Z22" s="1811" t="str">
        <f>Q22</f>
        <v>楼层</v>
      </c>
      <c r="AA22" s="1808">
        <f t="shared" si="3"/>
        <v>1</v>
      </c>
      <c r="AB22" s="1808">
        <f t="shared" si="4"/>
        <v>1</v>
      </c>
      <c r="AC22" s="1808">
        <f t="shared" si="5"/>
        <v>1</v>
      </c>
    </row>
    <row r="23" spans="1:29" ht="15">
      <c r="A23" s="402"/>
      <c r="B23" s="2594">
        <v>111</v>
      </c>
      <c r="C23" s="430"/>
      <c r="D23" s="433">
        <v>100</v>
      </c>
      <c r="E23" s="432"/>
      <c r="F23" s="459">
        <f>SUMIF(71:71,E23,72:72)-SUMIF(71:71,C23,72:72)+100</f>
        <v>100</v>
      </c>
      <c r="G23" s="432"/>
      <c r="H23" s="433">
        <f>SUMIF(71:71,G23,72:72)-SUMIF(71:71,C23,72:72)+100</f>
        <v>100</v>
      </c>
      <c r="I23" s="432"/>
      <c r="J23" s="433">
        <f>SUMIF(71:71,I23,72:72)-SUMIF(71:71,C23,72:72)+100</f>
        <v>100</v>
      </c>
      <c r="K23" s="611"/>
      <c r="L23" s="1138"/>
      <c r="M23" s="1129"/>
      <c r="N23" s="1129"/>
      <c r="O23" s="1137"/>
      <c r="P23" s="3216"/>
      <c r="Q23" s="1807">
        <f>B23</f>
        <v>111</v>
      </c>
      <c r="R23" s="771" t="s">
        <v>17</v>
      </c>
      <c r="S23" s="772">
        <f>F23</f>
        <v>100</v>
      </c>
      <c r="T23" s="771" t="s">
        <v>17</v>
      </c>
      <c r="U23" s="772">
        <f>H23</f>
        <v>100</v>
      </c>
      <c r="V23" s="771" t="s">
        <v>17</v>
      </c>
      <c r="W23" s="772">
        <f>J23</f>
        <v>100</v>
      </c>
      <c r="X23" s="1810"/>
      <c r="Y23" s="3216"/>
      <c r="Z23" s="1811">
        <f>Q23</f>
        <v>111</v>
      </c>
      <c r="AA23" s="1808">
        <f t="shared" si="3"/>
        <v>1</v>
      </c>
      <c r="AB23" s="1808">
        <f t="shared" si="4"/>
        <v>1</v>
      </c>
      <c r="AC23" s="1808">
        <f t="shared" si="5"/>
        <v>1</v>
      </c>
    </row>
    <row r="24" spans="1:29" ht="15">
      <c r="A24" s="426"/>
      <c r="B24" s="2594">
        <v>111</v>
      </c>
      <c r="C24" s="430"/>
      <c r="D24" s="433">
        <v>100</v>
      </c>
      <c r="E24" s="432"/>
      <c r="F24" s="459">
        <f>SUMIF(73:73,E24,74:74)-SUMIF(73:73,C24,74:74)+100</f>
        <v>100</v>
      </c>
      <c r="G24" s="432"/>
      <c r="H24" s="433">
        <f>SUMIF(73:73,G24,74:74)-SUMIF(73:73,C24,74:74)+100</f>
        <v>100</v>
      </c>
      <c r="I24" s="432"/>
      <c r="J24" s="433">
        <f>SUMIF(73:73,I24,74:74)-SUMIF(73:73,C24,74:74)+100</f>
        <v>100</v>
      </c>
      <c r="K24" s="611"/>
      <c r="L24" s="1138"/>
      <c r="M24" s="1129"/>
      <c r="N24" s="1129"/>
      <c r="O24" s="1137"/>
      <c r="P24" s="3216"/>
      <c r="Q24" s="1807">
        <f t="shared" ref="Q24:Q34" si="11">B24</f>
        <v>111</v>
      </c>
      <c r="R24" s="771" t="s">
        <v>17</v>
      </c>
      <c r="S24" s="772">
        <f>F24</f>
        <v>100</v>
      </c>
      <c r="T24" s="771" t="s">
        <v>17</v>
      </c>
      <c r="U24" s="772">
        <f>H24</f>
        <v>100</v>
      </c>
      <c r="V24" s="771" t="s">
        <v>17</v>
      </c>
      <c r="W24" s="772">
        <f>J24</f>
        <v>100</v>
      </c>
      <c r="X24" s="1810"/>
      <c r="Y24" s="3216"/>
      <c r="Z24" s="1811">
        <f>Q24</f>
        <v>111</v>
      </c>
      <c r="AA24" s="1808">
        <f t="shared" si="3"/>
        <v>1</v>
      </c>
      <c r="AB24" s="1808">
        <f t="shared" si="4"/>
        <v>1</v>
      </c>
      <c r="AC24" s="1808">
        <f t="shared" si="5"/>
        <v>1</v>
      </c>
    </row>
    <row r="25" spans="1:29" s="115" customFormat="1" ht="15.75" thickBot="1">
      <c r="A25" s="429"/>
      <c r="B25" s="2594">
        <v>111</v>
      </c>
      <c r="C25" s="2690"/>
      <c r="D25" s="663">
        <v>100</v>
      </c>
      <c r="E25" s="2690"/>
      <c r="F25" s="664">
        <f>SUMIF(75:75,E25,76:76)-SUMIF(75:75,C25,76:76)+100</f>
        <v>100</v>
      </c>
      <c r="G25" s="2690"/>
      <c r="H25" s="663">
        <f>SUMIF(75:75,G25,76:76)-SUMIF(75:75,C25,76:76)+100</f>
        <v>100</v>
      </c>
      <c r="I25" s="2690"/>
      <c r="J25" s="663">
        <f>SUMIF(75:75,I25,76:76)-SUMIF(75:75,C25,76:76)+100</f>
        <v>100</v>
      </c>
      <c r="K25" s="611"/>
      <c r="L25" s="1130"/>
      <c r="M25" s="1131"/>
      <c r="N25" s="1131"/>
      <c r="O25" s="1132"/>
      <c r="P25" s="3216"/>
      <c r="Q25" s="1792">
        <f t="shared" si="11"/>
        <v>111</v>
      </c>
      <c r="R25" s="767" t="s">
        <v>17</v>
      </c>
      <c r="S25" s="768">
        <f>F25</f>
        <v>100</v>
      </c>
      <c r="T25" s="767" t="s">
        <v>17</v>
      </c>
      <c r="U25" s="768">
        <f>H25</f>
        <v>100</v>
      </c>
      <c r="V25" s="767" t="s">
        <v>17</v>
      </c>
      <c r="W25" s="768">
        <f>J25</f>
        <v>100</v>
      </c>
      <c r="X25" s="769"/>
      <c r="Y25" s="3216"/>
      <c r="Z25" s="54">
        <f>Q25</f>
        <v>111</v>
      </c>
      <c r="AA25" s="1808">
        <f>D25/F25</f>
        <v>1</v>
      </c>
      <c r="AB25" s="1808">
        <f>D25/H25</f>
        <v>1</v>
      </c>
      <c r="AC25" s="1808">
        <f>D25/J25</f>
        <v>1</v>
      </c>
    </row>
    <row r="26" spans="1:29" ht="15">
      <c r="A26" s="464" t="s">
        <v>2566</v>
      </c>
      <c r="B26" s="70" t="s">
        <v>2717</v>
      </c>
      <c r="C26" s="2671"/>
      <c r="D26" s="465">
        <v>100</v>
      </c>
      <c r="E26" s="2671"/>
      <c r="F26" s="665">
        <f>SUMIF(77:77,E26,78:78)-SUMIF(77:77,C26,78:78)+100</f>
        <v>100</v>
      </c>
      <c r="G26" s="2671"/>
      <c r="H26" s="465">
        <f>SUMIF(77:77,G26,78:78)-SUMIF(77:77,C26,78:78)+100</f>
        <v>100</v>
      </c>
      <c r="I26" s="2671"/>
      <c r="J26" s="465">
        <f>SUMIF(77:77,I26,78:78)-SUMIF(77:77,C26,78:78)+100</f>
        <v>100</v>
      </c>
      <c r="K26" s="610"/>
      <c r="L26" s="1138"/>
      <c r="M26" s="1129"/>
      <c r="N26" s="1129"/>
      <c r="O26" s="1137"/>
      <c r="P26" s="3217" t="s">
        <v>2568</v>
      </c>
      <c r="Q26" s="1807" t="str">
        <f t="shared" si="11"/>
        <v>公共部分装修</v>
      </c>
      <c r="R26" s="771" t="s">
        <v>17</v>
      </c>
      <c r="S26" s="772">
        <f t="shared" ref="S26:S34" si="12">F26</f>
        <v>100</v>
      </c>
      <c r="T26" s="771" t="s">
        <v>17</v>
      </c>
      <c r="U26" s="772">
        <f t="shared" ref="U26:U34" si="13">H26</f>
        <v>100</v>
      </c>
      <c r="V26" s="771" t="s">
        <v>17</v>
      </c>
      <c r="W26" s="772">
        <f t="shared" ref="W26:W34" si="14">J26</f>
        <v>100</v>
      </c>
      <c r="X26" s="1810"/>
      <c r="Y26" s="3218" t="s">
        <v>2568</v>
      </c>
      <c r="Z26" s="1811" t="str">
        <f t="shared" ref="Z26:Z34" si="15">Q26</f>
        <v>公共部分装修</v>
      </c>
      <c r="AA26" s="1808">
        <f t="shared" si="3"/>
        <v>1</v>
      </c>
      <c r="AB26" s="1808">
        <f t="shared" si="4"/>
        <v>1</v>
      </c>
      <c r="AC26" s="1808">
        <f t="shared" si="5"/>
        <v>1</v>
      </c>
    </row>
    <row r="27" spans="1:29" s="469" customFormat="1" ht="15">
      <c r="A27" s="466"/>
      <c r="B27" s="420" t="s">
        <v>2718</v>
      </c>
      <c r="C27" s="472"/>
      <c r="D27" s="133">
        <v>100</v>
      </c>
      <c r="E27" s="473"/>
      <c r="F27" s="459" t="e">
        <f>LOOKUP(E27,80:80,81:81)-LOOKUP(C27,80:80,81:81)+100</f>
        <v>#N/A</v>
      </c>
      <c r="G27" s="474"/>
      <c r="H27" s="433" t="e">
        <f>LOOKUP(G27,80:80,81:81)-LOOKUP(C27,80:80,81:81)+100</f>
        <v>#N/A</v>
      </c>
      <c r="I27" s="474"/>
      <c r="J27" s="433" t="e">
        <f>LOOKUP(I27,80:80,81:81)-LOOKUP(C27,80:80,81:81)+100</f>
        <v>#N/A</v>
      </c>
      <c r="K27" s="610"/>
      <c r="L27" s="1136"/>
      <c r="M27" s="1139"/>
      <c r="N27" s="1139"/>
      <c r="O27" s="1140"/>
      <c r="P27" s="3218"/>
      <c r="Q27" s="773" t="str">
        <f t="shared" si="11"/>
        <v>成新率</v>
      </c>
      <c r="R27" s="774" t="s">
        <v>17</v>
      </c>
      <c r="S27" s="775" t="e">
        <f t="shared" si="12"/>
        <v>#N/A</v>
      </c>
      <c r="T27" s="774" t="s">
        <v>17</v>
      </c>
      <c r="U27" s="775" t="e">
        <f t="shared" si="13"/>
        <v>#N/A</v>
      </c>
      <c r="V27" s="774" t="s">
        <v>17</v>
      </c>
      <c r="W27" s="775" t="e">
        <f t="shared" si="14"/>
        <v>#N/A</v>
      </c>
      <c r="X27" s="776"/>
      <c r="Y27" s="3218"/>
      <c r="Z27" s="777" t="str">
        <f t="shared" si="15"/>
        <v>成新率</v>
      </c>
      <c r="AA27" s="1808" t="e">
        <f t="shared" si="3"/>
        <v>#N/A</v>
      </c>
      <c r="AB27" s="1808" t="e">
        <f t="shared" si="4"/>
        <v>#N/A</v>
      </c>
      <c r="AC27" s="1808" t="e">
        <f t="shared" si="5"/>
        <v>#N/A</v>
      </c>
    </row>
    <row r="28" spans="1:29" ht="15">
      <c r="A28" s="470"/>
      <c r="B28" s="420" t="s">
        <v>2719</v>
      </c>
      <c r="C28" s="458"/>
      <c r="D28" s="433">
        <v>100</v>
      </c>
      <c r="E28" s="458"/>
      <c r="F28" s="459">
        <f>SUMIF(82:82,E28,83:83)-SUMIF(82:82,C28,83:83)+100</f>
        <v>100</v>
      </c>
      <c r="G28" s="458"/>
      <c r="H28" s="433">
        <f>SUMIF(82:82,G28,83:83)-SUMIF(82:82,C28,83:83)+100</f>
        <v>100</v>
      </c>
      <c r="I28" s="458"/>
      <c r="J28" s="433">
        <f>SUMIF(82:82,I28,83:83)-SUMIF(82:82,C28,83:83)+100</f>
        <v>100</v>
      </c>
      <c r="K28" s="610"/>
      <c r="L28" s="1138"/>
      <c r="M28" s="1129"/>
      <c r="N28" s="1129"/>
      <c r="O28" s="1137"/>
      <c r="P28" s="3218"/>
      <c r="Q28" s="1807" t="str">
        <f t="shared" si="11"/>
        <v>物业等级</v>
      </c>
      <c r="R28" s="771" t="s">
        <v>17</v>
      </c>
      <c r="S28" s="772">
        <f t="shared" si="12"/>
        <v>100</v>
      </c>
      <c r="T28" s="771" t="s">
        <v>17</v>
      </c>
      <c r="U28" s="772">
        <f t="shared" si="13"/>
        <v>100</v>
      </c>
      <c r="V28" s="771" t="s">
        <v>17</v>
      </c>
      <c r="W28" s="772">
        <f t="shared" si="14"/>
        <v>100</v>
      </c>
      <c r="X28" s="1810"/>
      <c r="Y28" s="3218"/>
      <c r="Z28" s="1811" t="str">
        <f t="shared" si="15"/>
        <v>物业等级</v>
      </c>
      <c r="AA28" s="1808">
        <f t="shared" si="3"/>
        <v>1</v>
      </c>
      <c r="AB28" s="1808">
        <f t="shared" si="4"/>
        <v>1</v>
      </c>
      <c r="AC28" s="1808">
        <f t="shared" si="5"/>
        <v>1</v>
      </c>
    </row>
    <row r="29" spans="1:29" ht="15">
      <c r="A29" s="470"/>
      <c r="B29" s="420" t="s">
        <v>2740</v>
      </c>
      <c r="C29" s="655"/>
      <c r="D29" s="433">
        <v>100</v>
      </c>
      <c r="E29" s="655"/>
      <c r="F29" s="459">
        <f>SUMIF(84:84,E29,85:85)-SUMIF(84:84,C29,85:85)+100</f>
        <v>100</v>
      </c>
      <c r="G29" s="655"/>
      <c r="H29" s="433">
        <f>SUMIF(84:84,G29,85:85)-SUMIF(84:84,C29,85:85)+100</f>
        <v>100</v>
      </c>
      <c r="I29" s="655"/>
      <c r="J29" s="433">
        <f>SUMIF(84:84,I29,85:85)-SUMIF(84:84,C29,85:85)+100</f>
        <v>100</v>
      </c>
      <c r="K29" s="610"/>
      <c r="L29" s="1138"/>
      <c r="M29" s="1129"/>
      <c r="N29" s="1129"/>
      <c r="O29" s="1137"/>
      <c r="P29" s="3218"/>
      <c r="Q29" s="1807" t="str">
        <f t="shared" si="11"/>
        <v>有无电梯</v>
      </c>
      <c r="R29" s="771" t="s">
        <v>17</v>
      </c>
      <c r="S29" s="772">
        <f t="shared" si="12"/>
        <v>100</v>
      </c>
      <c r="T29" s="771" t="s">
        <v>17</v>
      </c>
      <c r="U29" s="772">
        <f t="shared" si="13"/>
        <v>100</v>
      </c>
      <c r="V29" s="771" t="s">
        <v>17</v>
      </c>
      <c r="W29" s="772">
        <f t="shared" si="14"/>
        <v>100</v>
      </c>
      <c r="X29" s="1810"/>
      <c r="Y29" s="3218"/>
      <c r="Z29" s="1811" t="str">
        <f t="shared" si="15"/>
        <v>有无电梯</v>
      </c>
      <c r="AA29" s="1808">
        <f t="shared" si="3"/>
        <v>1</v>
      </c>
      <c r="AB29" s="1808">
        <f t="shared" si="4"/>
        <v>1</v>
      </c>
      <c r="AC29" s="1808">
        <f t="shared" si="5"/>
        <v>1</v>
      </c>
    </row>
    <row r="30" spans="1:29" ht="15">
      <c r="A30" s="470"/>
      <c r="B30" s="420" t="s">
        <v>2741</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8"/>
      <c r="M30" s="1129"/>
      <c r="N30" s="1129"/>
      <c r="O30" s="1137"/>
      <c r="P30" s="3218"/>
      <c r="Q30" s="1807" t="str">
        <f t="shared" si="11"/>
        <v>建筑面积</v>
      </c>
      <c r="R30" s="771" t="s">
        <v>17</v>
      </c>
      <c r="S30" s="772" t="e">
        <f t="shared" si="12"/>
        <v>#N/A</v>
      </c>
      <c r="T30" s="771" t="s">
        <v>17</v>
      </c>
      <c r="U30" s="772" t="e">
        <f t="shared" si="13"/>
        <v>#N/A</v>
      </c>
      <c r="V30" s="771" t="s">
        <v>17</v>
      </c>
      <c r="W30" s="772" t="e">
        <f t="shared" si="14"/>
        <v>#N/A</v>
      </c>
      <c r="X30" s="1810"/>
      <c r="Y30" s="3218"/>
      <c r="Z30" s="1811" t="str">
        <f t="shared" si="15"/>
        <v>建筑面积</v>
      </c>
      <c r="AA30" s="1808" t="e">
        <f t="shared" si="3"/>
        <v>#N/A</v>
      </c>
      <c r="AB30" s="1808" t="e">
        <f t="shared" si="4"/>
        <v>#N/A</v>
      </c>
      <c r="AC30" s="1808" t="e">
        <f t="shared" si="5"/>
        <v>#N/A</v>
      </c>
    </row>
    <row r="31" spans="1:29" s="115" customFormat="1" ht="15">
      <c r="A31" s="471"/>
      <c r="B31" s="420" t="s">
        <v>2742</v>
      </c>
      <c r="C31" s="655"/>
      <c r="D31" s="133">
        <v>100</v>
      </c>
      <c r="E31" s="655"/>
      <c r="F31" s="459">
        <f>SUMIF(89:89,E31,90:90)-SUMIF(89:89,C31,90:90)+100</f>
        <v>100</v>
      </c>
      <c r="G31" s="655"/>
      <c r="H31" s="433">
        <f>SUMIF(89:89,G31,90:90)-SUMIF(89:89,C31,90:90)+100</f>
        <v>100</v>
      </c>
      <c r="I31" s="655"/>
      <c r="J31" s="433">
        <f>SUMIF(89:89,I31,90:90)-SUMIF(89:89,C31,90:90)+100</f>
        <v>100</v>
      </c>
      <c r="K31" s="610"/>
      <c r="L31" s="1130"/>
      <c r="M31" s="1131"/>
      <c r="N31" s="1131"/>
      <c r="O31" s="1132"/>
      <c r="P31" s="3218"/>
      <c r="Q31" s="1792" t="str">
        <f t="shared" si="11"/>
        <v>是否封闭</v>
      </c>
      <c r="R31" s="767" t="s">
        <v>17</v>
      </c>
      <c r="S31" s="768">
        <f t="shared" si="12"/>
        <v>100</v>
      </c>
      <c r="T31" s="767" t="s">
        <v>17</v>
      </c>
      <c r="U31" s="768">
        <f t="shared" si="13"/>
        <v>100</v>
      </c>
      <c r="V31" s="767" t="s">
        <v>17</v>
      </c>
      <c r="W31" s="768">
        <f t="shared" si="14"/>
        <v>100</v>
      </c>
      <c r="X31" s="769"/>
      <c r="Y31" s="3218"/>
      <c r="Z31" s="54" t="str">
        <f t="shared" si="15"/>
        <v>是否封闭</v>
      </c>
      <c r="AA31" s="770">
        <f t="shared" si="3"/>
        <v>1</v>
      </c>
      <c r="AB31" s="770">
        <f t="shared" si="4"/>
        <v>1</v>
      </c>
      <c r="AC31" s="770">
        <f t="shared" si="5"/>
        <v>1</v>
      </c>
    </row>
    <row r="32" spans="1:29" ht="15">
      <c r="A32" s="470"/>
      <c r="B32" s="2594">
        <v>111</v>
      </c>
      <c r="C32" s="430"/>
      <c r="D32" s="433">
        <v>100</v>
      </c>
      <c r="E32" s="467"/>
      <c r="F32" s="459">
        <f>SUMIF(91:91,E32,92:92)-SUMIF(91:91,C32,92:92)+100</f>
        <v>100</v>
      </c>
      <c r="G32" s="467"/>
      <c r="H32" s="433">
        <f>SUMIF(91:91,G32,92:92)-SUMIF(91:91,C32,92:92)+100</f>
        <v>100</v>
      </c>
      <c r="I32" s="467"/>
      <c r="J32" s="433">
        <f>SUMIF(91:91,I32,92:92)-SUMIF(91:91,C32,92:92)+100</f>
        <v>100</v>
      </c>
      <c r="K32" s="611"/>
      <c r="L32" s="1138"/>
      <c r="M32" s="1129"/>
      <c r="N32" s="1129"/>
      <c r="O32" s="1137"/>
      <c r="P32" s="3218" t="s">
        <v>2568</v>
      </c>
      <c r="Q32" s="1807">
        <f t="shared" si="11"/>
        <v>111</v>
      </c>
      <c r="R32" s="771" t="s">
        <v>17</v>
      </c>
      <c r="S32" s="772">
        <f t="shared" si="12"/>
        <v>100</v>
      </c>
      <c r="T32" s="771" t="s">
        <v>17</v>
      </c>
      <c r="U32" s="772">
        <f t="shared" si="13"/>
        <v>100</v>
      </c>
      <c r="V32" s="771" t="s">
        <v>17</v>
      </c>
      <c r="W32" s="772">
        <f t="shared" si="14"/>
        <v>100</v>
      </c>
      <c r="X32" s="1810"/>
      <c r="Y32" s="3218" t="s">
        <v>2568</v>
      </c>
      <c r="Z32" s="1811">
        <f t="shared" si="15"/>
        <v>111</v>
      </c>
      <c r="AA32" s="1808">
        <f t="shared" si="3"/>
        <v>1</v>
      </c>
      <c r="AB32" s="1808">
        <f t="shared" si="4"/>
        <v>1</v>
      </c>
      <c r="AC32" s="1808">
        <f t="shared" si="5"/>
        <v>1</v>
      </c>
    </row>
    <row r="33" spans="1:29" ht="15">
      <c r="A33" s="470"/>
      <c r="B33" s="2594">
        <v>111</v>
      </c>
      <c r="C33" s="430"/>
      <c r="D33" s="433">
        <v>100</v>
      </c>
      <c r="E33" s="467"/>
      <c r="F33" s="459">
        <f>SUMIF(93:93,E33,94:94)-SUMIF(93:93,C33,94:94)+100</f>
        <v>100</v>
      </c>
      <c r="G33" s="467"/>
      <c r="H33" s="433">
        <f>SUMIF(93:93,G33,94:94)-SUMIF(93:93,C33,94:94)+100</f>
        <v>100</v>
      </c>
      <c r="I33" s="467"/>
      <c r="J33" s="433">
        <f>SUMIF(93:93,I33,94:94)-SUMIF(93:93,C33,94:94)+100</f>
        <v>100</v>
      </c>
      <c r="K33" s="611"/>
      <c r="L33" s="1138"/>
      <c r="M33" s="1129"/>
      <c r="N33" s="1129"/>
      <c r="O33" s="1137"/>
      <c r="P33" s="3218"/>
      <c r="Q33" s="1807">
        <f t="shared" si="11"/>
        <v>111</v>
      </c>
      <c r="R33" s="771" t="s">
        <v>17</v>
      </c>
      <c r="S33" s="772">
        <f t="shared" si="12"/>
        <v>100</v>
      </c>
      <c r="T33" s="771" t="s">
        <v>17</v>
      </c>
      <c r="U33" s="772">
        <f t="shared" si="13"/>
        <v>100</v>
      </c>
      <c r="V33" s="771" t="s">
        <v>17</v>
      </c>
      <c r="W33" s="772">
        <f t="shared" si="14"/>
        <v>100</v>
      </c>
      <c r="X33" s="1810"/>
      <c r="Y33" s="3218"/>
      <c r="Z33" s="1811">
        <f t="shared" si="15"/>
        <v>111</v>
      </c>
      <c r="AA33" s="1808">
        <f t="shared" si="3"/>
        <v>1</v>
      </c>
      <c r="AB33" s="1808">
        <f t="shared" si="4"/>
        <v>1</v>
      </c>
      <c r="AC33" s="1808">
        <f t="shared" si="5"/>
        <v>1</v>
      </c>
    </row>
    <row r="34" spans="1:29" ht="15.75" thickBot="1">
      <c r="A34" s="476"/>
      <c r="B34" s="2596">
        <v>111</v>
      </c>
      <c r="C34" s="435"/>
      <c r="D34" s="436">
        <v>100</v>
      </c>
      <c r="E34" s="2689"/>
      <c r="F34" s="437">
        <f>SUMIF(95:95,E34,96:96)-SUMIF(95:95,C34,96:96)+100</f>
        <v>100</v>
      </c>
      <c r="G34" s="2689"/>
      <c r="H34" s="436">
        <f>SUMIF(95:95,G34,96:96)-SUMIF(95:95,C34,96:96)+100</f>
        <v>100</v>
      </c>
      <c r="I34" s="2689"/>
      <c r="J34" s="436">
        <f>SUMIF(95:95,I34,96:96)-SUMIF(95:95,C34,96:96)+100</f>
        <v>100</v>
      </c>
      <c r="K34" s="611"/>
      <c r="L34" s="1138"/>
      <c r="M34" s="1129"/>
      <c r="N34" s="1129"/>
      <c r="O34" s="1137"/>
      <c r="P34" s="3218"/>
      <c r="Q34" s="1807">
        <f t="shared" si="11"/>
        <v>111</v>
      </c>
      <c r="R34" s="771" t="s">
        <v>17</v>
      </c>
      <c r="S34" s="772">
        <f t="shared" si="12"/>
        <v>100</v>
      </c>
      <c r="T34" s="771" t="s">
        <v>17</v>
      </c>
      <c r="U34" s="772">
        <f t="shared" si="13"/>
        <v>100</v>
      </c>
      <c r="V34" s="771" t="s">
        <v>17</v>
      </c>
      <c r="W34" s="772">
        <f t="shared" si="14"/>
        <v>100</v>
      </c>
      <c r="X34" s="1810"/>
      <c r="Y34" s="3218"/>
      <c r="Z34" s="1811">
        <f t="shared" si="15"/>
        <v>111</v>
      </c>
      <c r="AA34" s="1808">
        <f t="shared" si="3"/>
        <v>1</v>
      </c>
      <c r="AB34" s="1808">
        <f t="shared" si="4"/>
        <v>1</v>
      </c>
      <c r="AC34" s="1808">
        <f t="shared" si="5"/>
        <v>1</v>
      </c>
    </row>
    <row r="35" spans="1:29" ht="15">
      <c r="A35" s="477" t="s">
        <v>2580</v>
      </c>
      <c r="B35" s="478"/>
      <c r="C35" s="1404" t="s">
        <v>1</v>
      </c>
      <c r="D35" s="1405"/>
      <c r="E35" s="1406"/>
      <c r="F35" s="1407"/>
      <c r="G35" s="1408"/>
      <c r="H35" s="1409"/>
      <c r="I35" s="1406"/>
      <c r="J35" s="1409"/>
      <c r="K35" s="780"/>
      <c r="L35" s="1141"/>
      <c r="M35" s="1142"/>
      <c r="N35" s="1129"/>
      <c r="O35" s="1142"/>
      <c r="P35" s="3200" t="str">
        <f>A35</f>
        <v>成交单价（元/平方米）</v>
      </c>
      <c r="Q35" s="3200"/>
      <c r="R35" s="3231">
        <f>E35</f>
        <v>0</v>
      </c>
      <c r="S35" s="3231"/>
      <c r="T35" s="3231">
        <f>G35</f>
        <v>0</v>
      </c>
      <c r="U35" s="3231"/>
      <c r="V35" s="3231">
        <f>I35</f>
        <v>0</v>
      </c>
      <c r="W35" s="3231"/>
      <c r="X35" s="756"/>
      <c r="Y35" s="778"/>
      <c r="Z35" s="756"/>
      <c r="AA35" s="756"/>
      <c r="AB35" s="756"/>
      <c r="AC35" s="756"/>
    </row>
    <row r="36" spans="1:29" ht="15.75" thickBot="1">
      <c r="A36" s="484" t="s">
        <v>2672</v>
      </c>
      <c r="B36" s="485"/>
      <c r="C36" s="1410" t="e">
        <f>R37</f>
        <v>#DIV/0!</v>
      </c>
      <c r="D36" s="1411"/>
      <c r="E36" s="1412" t="e">
        <f>R36</f>
        <v>#DIV/0!</v>
      </c>
      <c r="F36" s="1412"/>
      <c r="G36" s="1410" t="e">
        <f>T36</f>
        <v>#DIV/0!</v>
      </c>
      <c r="H36" s="1411"/>
      <c r="I36" s="1412" t="e">
        <f>V36</f>
        <v>#DIV/0!</v>
      </c>
      <c r="J36" s="1411"/>
      <c r="K36" s="781"/>
      <c r="L36" s="1141"/>
      <c r="M36" s="1142"/>
      <c r="N36" s="1129"/>
      <c r="O36" s="1142"/>
      <c r="P36" s="3200" t="str">
        <f>A36</f>
        <v>比较价值（元/平方米）</v>
      </c>
      <c r="Q36" s="3200"/>
      <c r="R36" s="3231" t="e">
        <f>IF(F1="售价",ROUND(PRODUCT(R35,AA7:AA34),0),ROUND(PRODUCT(R35,AA7:AA34),1))</f>
        <v>#DIV/0!</v>
      </c>
      <c r="S36" s="3231"/>
      <c r="T36" s="3231" t="e">
        <f>IF(F1="售价",ROUND(PRODUCT(T35,AB7:AB34),0),ROUND(PRODUCT(T35,AB7:AB34),1))</f>
        <v>#DIV/0!</v>
      </c>
      <c r="U36" s="3231"/>
      <c r="V36" s="3231" t="e">
        <f>IF(F1="售价",ROUND(PRODUCT(V35,AC7:AC34),0),ROUND(PRODUCT(V35,AC7:AC34),1))</f>
        <v>#DIV/0!</v>
      </c>
      <c r="W36" s="3231"/>
      <c r="X36" s="756"/>
      <c r="Y36" s="756"/>
      <c r="Z36" s="756"/>
      <c r="AA36" s="756"/>
      <c r="AB36" s="756"/>
      <c r="AC36" s="756"/>
    </row>
    <row r="37" spans="1:29" ht="15.75" thickBot="1">
      <c r="A37" s="490" t="s">
        <v>2673</v>
      </c>
      <c r="B37" s="491"/>
      <c r="C37" s="1414" t="e">
        <f>R37</f>
        <v>#DIV/0!</v>
      </c>
      <c r="D37" s="1414"/>
      <c r="E37" s="1414"/>
      <c r="F37" s="1414"/>
      <c r="G37" s="1414"/>
      <c r="H37" s="1414"/>
      <c r="I37" s="1414"/>
      <c r="J37" s="1414"/>
      <c r="K37" s="782"/>
      <c r="L37" s="1141"/>
      <c r="M37" s="1142"/>
      <c r="N37" s="1142"/>
      <c r="O37" s="1142"/>
      <c r="P37" s="3220" t="str">
        <f>A37</f>
        <v>估价对象XX用房的比较价值（楼面单价，元/平方米）</v>
      </c>
      <c r="Q37" s="3221"/>
      <c r="R37" s="3232" t="e">
        <f>IF(F1="售价",ROUND(AVERAGE(R36:V36),0),ROUND(AVERAGE(R36:V36),1))</f>
        <v>#DIV/0!</v>
      </c>
      <c r="S37" s="3232"/>
      <c r="T37" s="3232"/>
      <c r="U37" s="3232"/>
      <c r="V37" s="3232"/>
      <c r="W37" s="3232"/>
      <c r="X37" s="756"/>
      <c r="Y37" s="756"/>
      <c r="Z37" s="756"/>
      <c r="AA37" s="756"/>
      <c r="AB37" s="756"/>
      <c r="AC37" s="756"/>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5" t="s">
        <v>2674</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3"/>
      <c r="L40" s="1104"/>
      <c r="M40" s="1142"/>
      <c r="N40" s="1142"/>
      <c r="O40" s="1142"/>
    </row>
    <row r="41" spans="1:29" ht="13.5" customHeight="1">
      <c r="A41" s="1142"/>
      <c r="B41" s="1142"/>
      <c r="C41" s="495" t="s">
        <v>2675</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3"/>
      <c r="L41" s="1104"/>
      <c r="M41" s="1142"/>
      <c r="N41" s="1142"/>
      <c r="O41" s="1142"/>
    </row>
    <row r="42" spans="1:29" s="500" customFormat="1" ht="13.5" customHeight="1">
      <c r="A42" s="1143"/>
      <c r="B42" s="1143"/>
      <c r="C42" s="495" t="s">
        <v>2676</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6"/>
      <c r="L42" s="1147"/>
      <c r="M42" s="1143"/>
      <c r="N42" s="1143"/>
      <c r="O42" s="1143"/>
    </row>
    <row r="43" spans="1:29" s="500"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0" t="s">
        <v>2677</v>
      </c>
      <c r="B45" s="756"/>
      <c r="C45" s="761"/>
      <c r="D45" s="761"/>
      <c r="E45" s="761"/>
      <c r="F45" s="762"/>
      <c r="G45" s="762"/>
      <c r="H45" s="761"/>
      <c r="I45" s="761"/>
      <c r="J45" s="761"/>
      <c r="K45" s="763"/>
      <c r="L45" s="764"/>
      <c r="M45" s="761"/>
      <c r="N45" s="761"/>
      <c r="O45" s="761"/>
      <c r="P45" s="501"/>
      <c r="Q45" s="502"/>
    </row>
    <row r="46" spans="1:29" s="506" customFormat="1" ht="15">
      <c r="A46" s="503" t="s">
        <v>2551</v>
      </c>
      <c r="B46" s="504"/>
      <c r="C46" s="1572" t="str">
        <f>YEAR(C7)&amp;"-"&amp;MONTH(C7)</f>
        <v>2017-11</v>
      </c>
      <c r="D46" s="1573">
        <f>EDATE(C46,-1)</f>
        <v>43009</v>
      </c>
      <c r="E46" s="1573">
        <f t="shared" ref="E46:O46" si="16">EDATE(D46,-1)</f>
        <v>42979</v>
      </c>
      <c r="F46" s="1573">
        <f t="shared" si="16"/>
        <v>42948</v>
      </c>
      <c r="G46" s="1573">
        <f t="shared" si="16"/>
        <v>42917</v>
      </c>
      <c r="H46" s="1573">
        <f t="shared" si="16"/>
        <v>42887</v>
      </c>
      <c r="I46" s="1573">
        <f t="shared" si="16"/>
        <v>42856</v>
      </c>
      <c r="J46" s="1573">
        <f t="shared" si="16"/>
        <v>42826</v>
      </c>
      <c r="K46" s="1573">
        <f t="shared" si="16"/>
        <v>42795</v>
      </c>
      <c r="L46" s="1573">
        <f t="shared" si="16"/>
        <v>42767</v>
      </c>
      <c r="M46" s="1573">
        <f t="shared" si="16"/>
        <v>42736</v>
      </c>
      <c r="N46" s="1573">
        <f t="shared" si="16"/>
        <v>42705</v>
      </c>
      <c r="O46" s="1573">
        <f t="shared" si="16"/>
        <v>42675</v>
      </c>
      <c r="P46" s="505"/>
    </row>
    <row r="47" spans="1:29" s="115" customFormat="1" ht="15">
      <c r="A47" s="507"/>
      <c r="B47" s="508"/>
      <c r="C47" s="1571">
        <v>100</v>
      </c>
      <c r="D47" s="510"/>
      <c r="E47" s="510"/>
      <c r="F47" s="510"/>
      <c r="G47" s="510"/>
      <c r="H47" s="510"/>
      <c r="I47" s="510"/>
      <c r="J47" s="510"/>
      <c r="K47" s="510"/>
      <c r="L47" s="510"/>
      <c r="M47" s="511"/>
      <c r="N47" s="510"/>
      <c r="O47" s="512"/>
      <c r="P47" s="502"/>
    </row>
    <row r="48" spans="1:29" s="115" customFormat="1" ht="15.75" thickBot="1">
      <c r="A48" s="513" t="s">
        <v>2588</v>
      </c>
      <c r="B48" s="514"/>
      <c r="C48" s="515"/>
      <c r="D48" s="516"/>
      <c r="E48" s="516"/>
      <c r="F48" s="516"/>
      <c r="G48" s="516"/>
      <c r="H48" s="516"/>
      <c r="I48" s="516"/>
      <c r="J48" s="516"/>
      <c r="K48" s="516"/>
      <c r="L48" s="516"/>
      <c r="M48" s="517"/>
      <c r="N48" s="516"/>
      <c r="O48" s="518"/>
      <c r="P48" s="502"/>
      <c r="Q48" s="502"/>
    </row>
    <row r="49" spans="1:17" s="115" customFormat="1" ht="15">
      <c r="A49" s="519" t="s">
        <v>2553</v>
      </c>
      <c r="B49" s="508"/>
      <c r="C49" s="520" t="s">
        <v>2655</v>
      </c>
      <c r="D49" s="521"/>
      <c r="E49" s="521"/>
      <c r="F49" s="521"/>
      <c r="G49" s="521"/>
      <c r="H49" s="521"/>
      <c r="I49" s="521"/>
      <c r="J49" s="521"/>
      <c r="K49" s="521"/>
      <c r="L49" s="522"/>
      <c r="M49" s="523"/>
      <c r="N49" s="1149"/>
      <c r="O49" s="1149"/>
      <c r="P49" s="524"/>
      <c r="Q49" s="502"/>
    </row>
    <row r="50" spans="1:17" s="115" customFormat="1" ht="15.75" thickBot="1">
      <c r="A50" s="519"/>
      <c r="B50" s="508"/>
      <c r="C50" s="637">
        <v>100</v>
      </c>
      <c r="D50" s="510"/>
      <c r="E50" s="510"/>
      <c r="F50" s="510"/>
      <c r="G50" s="510"/>
      <c r="H50" s="510"/>
      <c r="I50" s="510"/>
      <c r="J50" s="510"/>
      <c r="K50" s="510"/>
      <c r="L50" s="510"/>
      <c r="M50" s="512"/>
      <c r="N50" s="1149"/>
      <c r="O50" s="1149"/>
      <c r="P50" s="502"/>
      <c r="Q50" s="502"/>
    </row>
    <row r="51" spans="1:17">
      <c r="A51" s="525" t="s">
        <v>2591</v>
      </c>
      <c r="B51" s="526" t="s">
        <v>2557</v>
      </c>
      <c r="C51" s="527">
        <f>C9</f>
        <v>0</v>
      </c>
      <c r="D51" s="528"/>
      <c r="E51" s="528"/>
      <c r="F51" s="528"/>
      <c r="G51" s="528"/>
      <c r="H51" s="528"/>
      <c r="I51" s="528"/>
      <c r="J51" s="528"/>
      <c r="K51" s="529"/>
      <c r="L51" s="530"/>
      <c r="M51" s="531"/>
      <c r="N51" s="1150"/>
      <c r="O51" s="1150"/>
      <c r="P51" s="45"/>
      <c r="Q51" s="502"/>
    </row>
    <row r="52" spans="1:17" ht="15.75" thickBot="1">
      <c r="A52" s="532"/>
      <c r="B52" s="533"/>
      <c r="C52" s="534">
        <v>100</v>
      </c>
      <c r="D52" s="534"/>
      <c r="E52" s="534"/>
      <c r="F52" s="534"/>
      <c r="G52" s="534"/>
      <c r="H52" s="534"/>
      <c r="I52" s="534"/>
      <c r="J52" s="534"/>
      <c r="K52" s="534"/>
      <c r="L52" s="534"/>
      <c r="M52" s="535"/>
      <c r="N52" s="1151"/>
      <c r="O52" s="1151"/>
      <c r="P52" s="45"/>
      <c r="Q52" s="502"/>
    </row>
    <row r="53" spans="1:17" ht="27.75" thickTop="1">
      <c r="A53" s="532"/>
      <c r="B53" s="536" t="s">
        <v>2560</v>
      </c>
      <c r="C53" s="537" t="s">
        <v>2592</v>
      </c>
      <c r="D53" s="537" t="s">
        <v>2593</v>
      </c>
      <c r="E53" s="537" t="s">
        <v>2594</v>
      </c>
      <c r="F53" s="537" t="s">
        <v>2595</v>
      </c>
      <c r="G53" s="537" t="s">
        <v>2596</v>
      </c>
      <c r="H53" s="537" t="s">
        <v>2597</v>
      </c>
      <c r="I53" s="537" t="s">
        <v>2598</v>
      </c>
      <c r="J53" s="537"/>
      <c r="K53" s="538"/>
      <c r="L53" s="539"/>
      <c r="M53" s="540"/>
      <c r="N53" s="1150"/>
      <c r="O53" s="1150"/>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1"/>
      <c r="O54" s="1151"/>
      <c r="P54" s="45"/>
      <c r="Q54" s="502"/>
    </row>
    <row r="55" spans="1:17" ht="15.75" thickTop="1">
      <c r="A55" s="532"/>
      <c r="B55" s="658">
        <f>B11</f>
        <v>111</v>
      </c>
      <c r="C55" s="547"/>
      <c r="D55" s="547"/>
      <c r="E55" s="547"/>
      <c r="F55" s="547"/>
      <c r="G55" s="547"/>
      <c r="H55" s="547"/>
      <c r="I55" s="547"/>
      <c r="J55" s="547"/>
      <c r="K55" s="548"/>
      <c r="L55" s="549"/>
      <c r="M55" s="550"/>
      <c r="N55" s="1150"/>
      <c r="O55" s="1150"/>
      <c r="P55" s="45"/>
      <c r="Q55" s="502"/>
    </row>
    <row r="56" spans="1:17" ht="15.75" thickBot="1">
      <c r="A56" s="532"/>
      <c r="B56" s="533"/>
      <c r="C56" s="558"/>
      <c r="D56" s="534"/>
      <c r="E56" s="534"/>
      <c r="F56" s="534"/>
      <c r="G56" s="534"/>
      <c r="H56" s="534"/>
      <c r="I56" s="534"/>
      <c r="J56" s="534"/>
      <c r="K56" s="534"/>
      <c r="L56" s="534"/>
      <c r="M56" s="535"/>
      <c r="N56" s="1151"/>
      <c r="O56" s="1151"/>
      <c r="P56" s="45"/>
      <c r="Q56" s="502"/>
    </row>
    <row r="57" spans="1:17" s="469" customFormat="1" ht="15.75" thickTop="1">
      <c r="A57" s="551"/>
      <c r="B57" s="536">
        <f>B12</f>
        <v>111</v>
      </c>
      <c r="C57" s="547"/>
      <c r="D57" s="547"/>
      <c r="E57" s="547"/>
      <c r="F57" s="547"/>
      <c r="G57" s="552"/>
      <c r="H57" s="553"/>
      <c r="I57" s="553"/>
      <c r="J57" s="553"/>
      <c r="K57" s="553"/>
      <c r="L57" s="554"/>
      <c r="M57" s="555"/>
      <c r="N57" s="1152"/>
      <c r="O57" s="1152"/>
      <c r="P57" s="556"/>
      <c r="Q57" s="557"/>
    </row>
    <row r="58" spans="1:17" s="469" customFormat="1" ht="15.75" thickBot="1">
      <c r="A58" s="551"/>
      <c r="B58" s="541"/>
      <c r="C58" s="558"/>
      <c r="D58" s="534"/>
      <c r="E58" s="534"/>
      <c r="F58" s="534"/>
      <c r="G58" s="534"/>
      <c r="H58" s="534"/>
      <c r="I58" s="534"/>
      <c r="J58" s="534"/>
      <c r="K58" s="534"/>
      <c r="L58" s="534"/>
      <c r="M58" s="535"/>
      <c r="N58" s="1151"/>
      <c r="O58" s="1151"/>
      <c r="P58" s="556"/>
      <c r="Q58" s="557"/>
    </row>
    <row r="59" spans="1:17" s="469" customFormat="1" ht="15.75" thickTop="1">
      <c r="A59" s="551"/>
      <c r="B59" s="536">
        <f>B13</f>
        <v>111</v>
      </c>
      <c r="C59" s="547"/>
      <c r="D59" s="547"/>
      <c r="E59" s="547"/>
      <c r="F59" s="547"/>
      <c r="G59" s="552"/>
      <c r="H59" s="553"/>
      <c r="I59" s="553"/>
      <c r="J59" s="553"/>
      <c r="K59" s="553"/>
      <c r="L59" s="554"/>
      <c r="M59" s="555"/>
      <c r="N59" s="1152"/>
      <c r="O59" s="1152"/>
      <c r="P59" s="468"/>
      <c r="Q59" s="559"/>
    </row>
    <row r="60" spans="1:17" s="469" customFormat="1" ht="15.75" thickBot="1">
      <c r="A60" s="551"/>
      <c r="B60" s="541"/>
      <c r="C60" s="558"/>
      <c r="D60" s="558"/>
      <c r="E60" s="558"/>
      <c r="F60" s="558"/>
      <c r="G60" s="558"/>
      <c r="H60" s="560"/>
      <c r="I60" s="560"/>
      <c r="J60" s="560"/>
      <c r="K60" s="560"/>
      <c r="L60" s="560"/>
      <c r="M60" s="561"/>
      <c r="N60" s="1152"/>
      <c r="O60" s="1152"/>
      <c r="P60" s="556"/>
      <c r="Q60" s="557"/>
    </row>
    <row r="61" spans="1:17" ht="15" thickTop="1">
      <c r="A61" s="525" t="s">
        <v>2562</v>
      </c>
      <c r="B61" s="526" t="s">
        <v>2605</v>
      </c>
      <c r="C61" s="571" t="s">
        <v>2600</v>
      </c>
      <c r="D61" s="571" t="s">
        <v>2601</v>
      </c>
      <c r="E61" s="571" t="s">
        <v>2602</v>
      </c>
      <c r="F61" s="571" t="s">
        <v>2603</v>
      </c>
      <c r="G61" s="571" t="s">
        <v>2604</v>
      </c>
      <c r="H61" s="527"/>
      <c r="I61" s="527"/>
      <c r="J61" s="527"/>
      <c r="K61" s="572"/>
      <c r="L61" s="573"/>
      <c r="M61" s="574"/>
      <c r="N61" s="1150"/>
      <c r="O61" s="1150"/>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1"/>
      <c r="O62" s="1151"/>
      <c r="P62" s="45"/>
      <c r="Q62" s="502"/>
    </row>
    <row r="63" spans="1:17" ht="27.75" thickTop="1">
      <c r="A63" s="532"/>
      <c r="B63" s="536" t="s">
        <v>2743</v>
      </c>
      <c r="C63" s="576" t="s">
        <v>2600</v>
      </c>
      <c r="D63" s="576" t="s">
        <v>2601</v>
      </c>
      <c r="E63" s="576" t="s">
        <v>2602</v>
      </c>
      <c r="F63" s="576" t="s">
        <v>2603</v>
      </c>
      <c r="G63" s="576" t="s">
        <v>2604</v>
      </c>
      <c r="H63" s="537"/>
      <c r="I63" s="537"/>
      <c r="J63" s="537"/>
      <c r="K63" s="538"/>
      <c r="L63" s="539"/>
      <c r="M63" s="540"/>
      <c r="N63" s="1150"/>
      <c r="O63" s="1150"/>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1"/>
      <c r="O64" s="1151"/>
      <c r="P64" s="45"/>
      <c r="Q64" s="502"/>
    </row>
    <row r="65" spans="1:17" ht="15.75" thickTop="1">
      <c r="A65" s="532"/>
      <c r="B65" s="544" t="s">
        <v>2692</v>
      </c>
      <c r="C65" s="658" t="s">
        <v>2678</v>
      </c>
      <c r="D65" s="658" t="s">
        <v>2679</v>
      </c>
      <c r="E65" s="658" t="s">
        <v>2680</v>
      </c>
      <c r="F65" s="658" t="s">
        <v>2681</v>
      </c>
      <c r="G65" s="658" t="s">
        <v>2682</v>
      </c>
      <c r="H65" s="537"/>
      <c r="I65" s="537"/>
      <c r="J65" s="537"/>
      <c r="K65" s="537"/>
      <c r="L65" s="537"/>
      <c r="M65" s="1380"/>
      <c r="N65" s="1151"/>
      <c r="O65" s="1151"/>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1"/>
      <c r="O66" s="1151"/>
      <c r="P66" s="45"/>
      <c r="Q66" s="502"/>
    </row>
    <row r="67" spans="1:17" ht="15.75" thickTop="1">
      <c r="A67" s="532"/>
      <c r="B67" s="536" t="s">
        <v>2612</v>
      </c>
      <c r="C67" s="576" t="s">
        <v>2600</v>
      </c>
      <c r="D67" s="576" t="s">
        <v>2601</v>
      </c>
      <c r="E67" s="576" t="s">
        <v>2602</v>
      </c>
      <c r="F67" s="576" t="s">
        <v>2603</v>
      </c>
      <c r="G67" s="576" t="s">
        <v>2604</v>
      </c>
      <c r="H67" s="537"/>
      <c r="I67" s="537"/>
      <c r="J67" s="537"/>
      <c r="K67" s="538"/>
      <c r="L67" s="539"/>
      <c r="M67" s="540"/>
      <c r="N67" s="1150"/>
      <c r="O67" s="1150"/>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1"/>
      <c r="O68" s="1151"/>
      <c r="P68" s="45"/>
      <c r="Q68" s="502"/>
    </row>
    <row r="69" spans="1:17" ht="15.75" thickTop="1">
      <c r="A69" s="532"/>
      <c r="B69" s="536" t="s">
        <v>2732</v>
      </c>
      <c r="C69" s="552"/>
      <c r="D69" s="552"/>
      <c r="E69" s="552"/>
      <c r="F69" s="552"/>
      <c r="G69" s="552"/>
      <c r="H69" s="581"/>
      <c r="I69" s="581"/>
      <c r="J69" s="581"/>
      <c r="K69" s="582"/>
      <c r="L69" s="583"/>
      <c r="M69" s="584"/>
      <c r="N69" s="1150"/>
      <c r="O69" s="1150"/>
      <c r="P69" s="45"/>
      <c r="Q69" s="502"/>
    </row>
    <row r="70" spans="1:17" ht="15.75" thickBot="1">
      <c r="A70" s="532"/>
      <c r="B70" s="541"/>
      <c r="C70" s="542">
        <v>100</v>
      </c>
      <c r="D70" s="542">
        <f>C70-$K22</f>
        <v>100</v>
      </c>
      <c r="E70" s="542"/>
      <c r="F70" s="542"/>
      <c r="G70" s="542"/>
      <c r="H70" s="542"/>
      <c r="I70" s="542"/>
      <c r="J70" s="542"/>
      <c r="K70" s="542"/>
      <c r="L70" s="542"/>
      <c r="M70" s="543"/>
      <c r="N70" s="1151"/>
      <c r="O70" s="1151"/>
      <c r="P70" s="45"/>
      <c r="Q70" s="502"/>
    </row>
    <row r="71" spans="1:17" s="115" customFormat="1" ht="15.75" thickTop="1">
      <c r="A71" s="577"/>
      <c r="B71" s="536">
        <f>B23</f>
        <v>111</v>
      </c>
      <c r="C71" s="547"/>
      <c r="D71" s="547"/>
      <c r="E71" s="547"/>
      <c r="F71" s="547"/>
      <c r="G71" s="552"/>
      <c r="H71" s="552"/>
      <c r="I71" s="552"/>
      <c r="J71" s="552"/>
      <c r="K71" s="552"/>
      <c r="L71" s="578"/>
      <c r="M71" s="579"/>
      <c r="N71" s="1149"/>
      <c r="O71" s="1149"/>
      <c r="P71" s="45"/>
      <c r="Q71" s="502"/>
    </row>
    <row r="72" spans="1:17" s="115" customFormat="1" ht="15.75" thickBot="1">
      <c r="A72" s="577"/>
      <c r="B72" s="541"/>
      <c r="C72" s="558"/>
      <c r="D72" s="534"/>
      <c r="E72" s="534"/>
      <c r="F72" s="534"/>
      <c r="G72" s="534"/>
      <c r="H72" s="534"/>
      <c r="I72" s="534"/>
      <c r="J72" s="534"/>
      <c r="K72" s="534"/>
      <c r="L72" s="534"/>
      <c r="M72" s="535"/>
      <c r="N72" s="1151"/>
      <c r="O72" s="1151"/>
      <c r="P72" s="45"/>
      <c r="Q72" s="502"/>
    </row>
    <row r="73" spans="1:17" s="115" customFormat="1" ht="15.75" thickTop="1">
      <c r="A73" s="577"/>
      <c r="B73" s="536">
        <f>B24</f>
        <v>111</v>
      </c>
      <c r="C73" s="547"/>
      <c r="D73" s="547"/>
      <c r="E73" s="547"/>
      <c r="F73" s="547"/>
      <c r="G73" s="552"/>
      <c r="H73" s="552"/>
      <c r="I73" s="552"/>
      <c r="J73" s="552"/>
      <c r="K73" s="552"/>
      <c r="L73" s="552"/>
      <c r="M73" s="579"/>
      <c r="N73" s="1149"/>
      <c r="O73" s="1149"/>
      <c r="P73" s="45"/>
      <c r="Q73" s="502"/>
    </row>
    <row r="74" spans="1:17" s="115" customFormat="1" ht="15.75" thickBot="1">
      <c r="A74" s="577"/>
      <c r="B74" s="541"/>
      <c r="C74" s="558"/>
      <c r="D74" s="534"/>
      <c r="E74" s="534"/>
      <c r="F74" s="534"/>
      <c r="G74" s="534"/>
      <c r="H74" s="534"/>
      <c r="I74" s="534"/>
      <c r="J74" s="534"/>
      <c r="K74" s="534"/>
      <c r="L74" s="534"/>
      <c r="M74" s="535"/>
      <c r="N74" s="1151"/>
      <c r="O74" s="1151"/>
      <c r="P74" s="45"/>
      <c r="Q74" s="502"/>
    </row>
    <row r="75" spans="1:17" s="469" customFormat="1" ht="15.75" thickTop="1">
      <c r="A75" s="551"/>
      <c r="B75" s="536">
        <f>B25</f>
        <v>111</v>
      </c>
      <c r="C75" s="547"/>
      <c r="D75" s="547"/>
      <c r="E75" s="547"/>
      <c r="F75" s="547"/>
      <c r="G75" s="552"/>
      <c r="H75" s="553"/>
      <c r="I75" s="553"/>
      <c r="J75" s="553"/>
      <c r="K75" s="553"/>
      <c r="L75" s="554"/>
      <c r="M75" s="555"/>
      <c r="N75" s="1152"/>
      <c r="O75" s="1152"/>
      <c r="P75" s="556"/>
      <c r="Q75" s="557"/>
    </row>
    <row r="76" spans="1:17" s="469" customFormat="1" ht="15.75" thickBot="1">
      <c r="A76" s="551"/>
      <c r="B76" s="541"/>
      <c r="C76" s="558"/>
      <c r="D76" s="558"/>
      <c r="E76" s="558"/>
      <c r="F76" s="558"/>
      <c r="G76" s="534"/>
      <c r="H76" s="534"/>
      <c r="I76" s="534"/>
      <c r="J76" s="534"/>
      <c r="K76" s="534"/>
      <c r="L76" s="534"/>
      <c r="M76" s="535"/>
      <c r="N76" s="1152"/>
      <c r="O76" s="1152"/>
      <c r="P76" s="556"/>
      <c r="Q76" s="557"/>
    </row>
    <row r="77" spans="1:17" ht="15" thickTop="1">
      <c r="A77" s="525" t="s">
        <v>2566</v>
      </c>
      <c r="B77" s="526" t="s">
        <v>2619</v>
      </c>
      <c r="C77" s="552"/>
      <c r="D77" s="552"/>
      <c r="E77" s="528"/>
      <c r="F77" s="528"/>
      <c r="G77" s="528"/>
      <c r="H77" s="528"/>
      <c r="I77" s="528"/>
      <c r="J77" s="528"/>
      <c r="K77" s="529"/>
      <c r="L77" s="530"/>
      <c r="M77" s="531"/>
      <c r="N77" s="1150"/>
      <c r="O77" s="1150"/>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1"/>
      <c r="O78" s="1151"/>
      <c r="P78" s="45"/>
      <c r="Q78" s="502"/>
    </row>
    <row r="79" spans="1:17" ht="15.75" thickTop="1">
      <c r="A79" s="532"/>
      <c r="B79" s="536" t="s">
        <v>2735</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9"/>
      <c r="O79" s="1149"/>
      <c r="P79" s="45"/>
      <c r="Q79" s="502"/>
    </row>
    <row r="80" spans="1:17" ht="15">
      <c r="A80" s="532"/>
      <c r="B80" s="544"/>
      <c r="C80" s="601">
        <v>0.5</v>
      </c>
      <c r="D80" s="601">
        <v>0.6</v>
      </c>
      <c r="E80" s="601">
        <v>0.7</v>
      </c>
      <c r="F80" s="601">
        <v>0.8</v>
      </c>
      <c r="G80" s="601">
        <v>0.9</v>
      </c>
      <c r="H80" s="601">
        <v>1.0001</v>
      </c>
      <c r="I80" s="658"/>
      <c r="J80" s="658"/>
      <c r="K80" s="666"/>
      <c r="L80" s="667"/>
      <c r="M80" s="668"/>
      <c r="N80" s="1149"/>
      <c r="O80" s="1149"/>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1"/>
      <c r="O81" s="1151"/>
      <c r="P81" s="556"/>
      <c r="Q81" s="557"/>
    </row>
    <row r="82" spans="1:17" ht="15" thickTop="1">
      <c r="A82" s="597"/>
      <c r="B82" s="544" t="s">
        <v>2736</v>
      </c>
      <c r="C82" s="552"/>
      <c r="D82" s="552"/>
      <c r="E82" s="581"/>
      <c r="F82" s="581"/>
      <c r="G82" s="581"/>
      <c r="H82" s="581"/>
      <c r="I82" s="581"/>
      <c r="J82" s="581"/>
      <c r="K82" s="582"/>
      <c r="L82" s="583"/>
      <c r="M82" s="584"/>
      <c r="N82" s="1150"/>
      <c r="O82" s="1150"/>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1"/>
      <c r="O83" s="1151"/>
      <c r="P83" s="45"/>
      <c r="Q83" s="502"/>
    </row>
    <row r="84" spans="1:17" ht="15" thickTop="1">
      <c r="A84" s="597"/>
      <c r="B84" s="536" t="s">
        <v>2744</v>
      </c>
      <c r="C84" s="552"/>
      <c r="D84" s="552"/>
      <c r="E84" s="552"/>
      <c r="F84" s="552"/>
      <c r="G84" s="552"/>
      <c r="H84" s="552"/>
      <c r="I84" s="581"/>
      <c r="J84" s="581"/>
      <c r="K84" s="582"/>
      <c r="L84" s="583"/>
      <c r="M84" s="584"/>
      <c r="N84" s="1150"/>
      <c r="O84" s="1150"/>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1"/>
      <c r="O85" s="1151"/>
      <c r="P85" s="45"/>
      <c r="Q85" s="502"/>
    </row>
    <row r="86" spans="1:17" ht="15" thickTop="1">
      <c r="A86" s="597"/>
      <c r="B86" s="544" t="s">
        <v>2745</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0"/>
      <c r="O86" s="1150"/>
      <c r="P86" s="45"/>
      <c r="Q86" s="502"/>
    </row>
    <row r="87" spans="1:17">
      <c r="A87" s="597"/>
      <c r="B87" s="544"/>
      <c r="C87" s="593"/>
      <c r="D87" s="593"/>
      <c r="E87" s="593"/>
      <c r="F87" s="593"/>
      <c r="G87" s="593"/>
      <c r="H87" s="593"/>
      <c r="I87" s="593"/>
      <c r="J87" s="594"/>
      <c r="K87" s="594"/>
      <c r="L87" s="595"/>
      <c r="M87" s="596"/>
      <c r="N87" s="1150"/>
      <c r="O87" s="1150"/>
      <c r="P87" s="45"/>
      <c r="Q87" s="502"/>
    </row>
    <row r="88" spans="1:17" ht="15.75" thickBot="1">
      <c r="A88" s="532"/>
      <c r="B88" s="541"/>
      <c r="C88" s="558"/>
      <c r="D88" s="534"/>
      <c r="E88" s="534"/>
      <c r="F88" s="534"/>
      <c r="G88" s="534"/>
      <c r="H88" s="534"/>
      <c r="I88" s="534"/>
      <c r="J88" s="534"/>
      <c r="K88" s="534"/>
      <c r="L88" s="534"/>
      <c r="M88" s="534"/>
      <c r="N88" s="1151"/>
      <c r="O88" s="1151"/>
      <c r="P88" s="45"/>
      <c r="Q88" s="502"/>
    </row>
    <row r="89" spans="1:17" s="469" customFormat="1" ht="15" thickTop="1">
      <c r="A89" s="591"/>
      <c r="B89" s="536" t="s">
        <v>2746</v>
      </c>
      <c r="C89" s="552"/>
      <c r="D89" s="552"/>
      <c r="E89" s="552"/>
      <c r="F89" s="552"/>
      <c r="G89" s="552"/>
      <c r="H89" s="552"/>
      <c r="I89" s="552"/>
      <c r="J89" s="552"/>
      <c r="K89" s="552"/>
      <c r="L89" s="552"/>
      <c r="M89" s="579"/>
      <c r="N89" s="1152"/>
      <c r="O89" s="1152"/>
      <c r="P89" s="556"/>
      <c r="Q89" s="557"/>
    </row>
    <row r="90" spans="1:17" s="469" customFormat="1" ht="15.75" thickBot="1">
      <c r="A90" s="551"/>
      <c r="B90" s="541"/>
      <c r="C90" s="558"/>
      <c r="D90" s="534"/>
      <c r="E90" s="534"/>
      <c r="F90" s="534"/>
      <c r="G90" s="534"/>
      <c r="H90" s="534"/>
      <c r="I90" s="534"/>
      <c r="J90" s="534"/>
      <c r="K90" s="534"/>
      <c r="L90" s="534"/>
      <c r="M90" s="535"/>
      <c r="N90" s="1152"/>
      <c r="O90" s="1152"/>
      <c r="P90" s="556"/>
      <c r="Q90" s="557"/>
    </row>
    <row r="91" spans="1:17" ht="15" thickTop="1">
      <c r="A91" s="597"/>
      <c r="B91" s="536">
        <f>B32</f>
        <v>111</v>
      </c>
      <c r="C91" s="547"/>
      <c r="D91" s="547"/>
      <c r="E91" s="547"/>
      <c r="F91" s="547"/>
      <c r="G91" s="552"/>
      <c r="H91" s="553"/>
      <c r="I91" s="553"/>
      <c r="J91" s="553"/>
      <c r="K91" s="553"/>
      <c r="L91" s="554"/>
      <c r="M91" s="555"/>
      <c r="N91" s="1150"/>
      <c r="O91" s="1150"/>
      <c r="P91" s="45"/>
      <c r="Q91" s="502"/>
    </row>
    <row r="92" spans="1:17" ht="15.75" thickBot="1">
      <c r="A92" s="532"/>
      <c r="B92" s="541"/>
      <c r="C92" s="558"/>
      <c r="D92" s="534"/>
      <c r="E92" s="534"/>
      <c r="F92" s="534"/>
      <c r="G92" s="558"/>
      <c r="H92" s="560"/>
      <c r="I92" s="560"/>
      <c r="J92" s="560"/>
      <c r="K92" s="560"/>
      <c r="L92" s="560"/>
      <c r="M92" s="561"/>
      <c r="N92" s="1151"/>
      <c r="O92" s="1151"/>
      <c r="P92" s="45"/>
      <c r="Q92" s="502"/>
    </row>
    <row r="93" spans="1:17" ht="15" thickTop="1">
      <c r="A93" s="597"/>
      <c r="B93" s="536">
        <f>B33</f>
        <v>111</v>
      </c>
      <c r="C93" s="547"/>
      <c r="D93" s="547"/>
      <c r="E93" s="547"/>
      <c r="F93" s="547"/>
      <c r="G93" s="552"/>
      <c r="H93" s="553"/>
      <c r="I93" s="553"/>
      <c r="J93" s="553"/>
      <c r="K93" s="553"/>
      <c r="L93" s="554"/>
      <c r="M93" s="555"/>
      <c r="N93" s="1150"/>
      <c r="O93" s="1150"/>
      <c r="P93" s="45"/>
      <c r="Q93" s="502"/>
    </row>
    <row r="94" spans="1:17" ht="15.75" thickBot="1">
      <c r="A94" s="532"/>
      <c r="B94" s="541"/>
      <c r="C94" s="558"/>
      <c r="D94" s="534"/>
      <c r="E94" s="534"/>
      <c r="F94" s="534"/>
      <c r="G94" s="558"/>
      <c r="H94" s="560"/>
      <c r="I94" s="560"/>
      <c r="J94" s="560"/>
      <c r="K94" s="560"/>
      <c r="L94" s="560"/>
      <c r="M94" s="561"/>
      <c r="N94" s="1151"/>
      <c r="O94" s="1151"/>
      <c r="P94" s="45"/>
      <c r="Q94" s="502"/>
    </row>
    <row r="95" spans="1:17" ht="15" thickTop="1">
      <c r="A95" s="597"/>
      <c r="B95" s="634">
        <f>B34</f>
        <v>111</v>
      </c>
      <c r="C95" s="547"/>
      <c r="D95" s="547"/>
      <c r="E95" s="547"/>
      <c r="F95" s="547"/>
      <c r="G95" s="552"/>
      <c r="H95" s="553"/>
      <c r="I95" s="553"/>
      <c r="J95" s="553"/>
      <c r="K95" s="553"/>
      <c r="L95" s="554"/>
      <c r="M95" s="555"/>
      <c r="N95" s="1151"/>
      <c r="O95" s="1151"/>
      <c r="P95" s="635"/>
      <c r="Q95" s="636"/>
    </row>
    <row r="96" spans="1:17" ht="15.75" thickBot="1">
      <c r="A96" s="532"/>
      <c r="B96" s="541"/>
      <c r="C96" s="558"/>
      <c r="D96" s="558"/>
      <c r="E96" s="558"/>
      <c r="F96" s="558"/>
      <c r="G96" s="558"/>
      <c r="H96" s="560"/>
      <c r="I96" s="560"/>
      <c r="J96" s="560"/>
      <c r="K96" s="560"/>
      <c r="L96" s="560"/>
      <c r="M96" s="561"/>
      <c r="N96" s="1151"/>
      <c r="O96" s="1151"/>
      <c r="P96" s="45"/>
      <c r="Q96" s="502"/>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2747</v>
      </c>
      <c r="B1" s="393"/>
      <c r="C1" s="394" t="s">
        <v>2799</v>
      </c>
      <c r="D1" s="752"/>
      <c r="E1" s="752"/>
      <c r="F1" s="751" t="s">
        <v>2646</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6" customFormat="1" ht="28.5" customHeight="1">
      <c r="A2" s="243" t="s">
        <v>2333</v>
      </c>
      <c r="B2" s="669" t="e">
        <f>F61</f>
        <v>#DIV/0!</v>
      </c>
      <c r="C2" s="1123"/>
      <c r="D2" s="1123"/>
      <c r="E2" s="1123"/>
      <c r="F2" s="1124"/>
      <c r="G2" s="1123"/>
      <c r="H2" s="1123"/>
      <c r="I2" s="1123"/>
      <c r="J2" s="1123"/>
      <c r="K2" s="1125"/>
      <c r="L2" s="1126"/>
      <c r="M2" s="1127"/>
      <c r="N2" s="1127"/>
      <c r="O2" s="1127"/>
      <c r="P2" s="765"/>
      <c r="Q2" s="765"/>
      <c r="R2" s="765"/>
      <c r="S2" s="765"/>
      <c r="T2" s="765"/>
      <c r="U2" s="765"/>
      <c r="V2" s="765"/>
      <c r="W2" s="765"/>
      <c r="X2" s="765"/>
      <c r="Y2" s="765"/>
      <c r="Z2" s="765"/>
      <c r="AA2" s="765"/>
      <c r="AB2" s="765"/>
      <c r="AC2" s="766"/>
    </row>
    <row r="3" spans="1:29" s="396" customFormat="1" ht="28.5" customHeight="1" thickBot="1">
      <c r="A3" s="245" t="s">
        <v>2335</v>
      </c>
      <c r="B3" s="607" t="e">
        <f>ROUND(IF(D3="",B2*10000/'数据-汇总表'!E3,B2*10000/D3),0)</f>
        <v>#DIV/0!</v>
      </c>
      <c r="C3" s="245" t="s">
        <v>2749</v>
      </c>
      <c r="D3" s="1580"/>
      <c r="E3" s="1123"/>
      <c r="F3" s="1124"/>
      <c r="G3" s="1123"/>
      <c r="H3" s="1123"/>
      <c r="I3" s="1123"/>
      <c r="J3" s="1123"/>
      <c r="K3" s="1125"/>
      <c r="L3" s="1126"/>
      <c r="M3" s="1127"/>
      <c r="N3" s="1127"/>
      <c r="O3" s="1127"/>
      <c r="P3" s="765"/>
      <c r="Q3" s="765"/>
      <c r="R3" s="765"/>
      <c r="S3" s="765"/>
      <c r="T3" s="765"/>
      <c r="U3" s="765"/>
      <c r="V3" s="765"/>
      <c r="W3" s="765"/>
      <c r="X3" s="765"/>
      <c r="Y3" s="765"/>
      <c r="Z3" s="765"/>
      <c r="AA3" s="765"/>
      <c r="AB3" s="783"/>
      <c r="AC3" s="779"/>
    </row>
    <row r="4" spans="1:29" ht="15">
      <c r="A4" s="399" t="s">
        <v>2648</v>
      </c>
      <c r="B4" s="400"/>
      <c r="C4" s="3201" t="s">
        <v>2649</v>
      </c>
      <c r="D4" s="3202"/>
      <c r="E4" s="3203" t="s">
        <v>2650</v>
      </c>
      <c r="F4" s="3204"/>
      <c r="G4" s="3201" t="s">
        <v>2651</v>
      </c>
      <c r="H4" s="3202"/>
      <c r="I4" s="3201" t="s">
        <v>2652</v>
      </c>
      <c r="J4" s="3202"/>
      <c r="K4" s="608" t="s">
        <v>2653</v>
      </c>
      <c r="L4" s="1128"/>
      <c r="M4" s="1129"/>
      <c r="N4" s="1129"/>
      <c r="O4" s="1129"/>
      <c r="P4" s="3205" t="s">
        <v>2654</v>
      </c>
      <c r="Q4" s="3206"/>
      <c r="R4" s="3186" t="s">
        <v>2650</v>
      </c>
      <c r="S4" s="3187"/>
      <c r="T4" s="3186" t="s">
        <v>2651</v>
      </c>
      <c r="U4" s="3187"/>
      <c r="V4" s="3213" t="s">
        <v>2652</v>
      </c>
      <c r="W4" s="3213"/>
      <c r="X4" s="1810"/>
      <c r="Y4" s="3186" t="s">
        <v>2654</v>
      </c>
      <c r="Z4" s="3187"/>
      <c r="AA4" s="3181" t="s">
        <v>2650</v>
      </c>
      <c r="AB4" s="3182" t="s">
        <v>2651</v>
      </c>
      <c r="AC4" s="3181" t="s">
        <v>2652</v>
      </c>
    </row>
    <row r="5" spans="1:29" ht="15">
      <c r="A5" s="402"/>
      <c r="B5" s="403"/>
      <c r="C5" s="3192" t="s">
        <v>2545</v>
      </c>
      <c r="D5" s="3193"/>
      <c r="E5" s="3261" t="s">
        <v>2546</v>
      </c>
      <c r="F5" s="3191"/>
      <c r="G5" s="3192" t="s">
        <v>2547</v>
      </c>
      <c r="H5" s="3193"/>
      <c r="I5" s="3192" t="s">
        <v>2548</v>
      </c>
      <c r="J5" s="3193"/>
      <c r="K5" s="608"/>
      <c r="L5" s="1128"/>
      <c r="M5" s="1129"/>
      <c r="N5" s="1129"/>
      <c r="O5" s="1129"/>
      <c r="P5" s="3207"/>
      <c r="Q5" s="3208"/>
      <c r="R5" s="3188"/>
      <c r="S5" s="3189"/>
      <c r="T5" s="3188"/>
      <c r="U5" s="3189"/>
      <c r="V5" s="3213"/>
      <c r="W5" s="3213"/>
      <c r="X5" s="1810"/>
      <c r="Y5" s="3188"/>
      <c r="Z5" s="3189"/>
      <c r="AA5" s="3182"/>
      <c r="AB5" s="3182"/>
      <c r="AC5" s="3182"/>
    </row>
    <row r="6" spans="1:29" ht="15.75" thickBot="1">
      <c r="A6" s="404"/>
      <c r="B6" s="405"/>
      <c r="C6" s="3278" t="s">
        <v>2800</v>
      </c>
      <c r="D6" s="3279"/>
      <c r="E6" s="3280" t="s">
        <v>2800</v>
      </c>
      <c r="F6" s="3281"/>
      <c r="G6" s="3278" t="s">
        <v>2800</v>
      </c>
      <c r="H6" s="3279"/>
      <c r="I6" s="3278" t="s">
        <v>2800</v>
      </c>
      <c r="J6" s="3279"/>
      <c r="K6" s="608" t="s">
        <v>2550</v>
      </c>
      <c r="L6" s="1128"/>
      <c r="M6" s="1129"/>
      <c r="N6" s="1129"/>
      <c r="O6" s="1129"/>
      <c r="P6" s="3209"/>
      <c r="Q6" s="3210"/>
      <c r="R6" s="3188"/>
      <c r="S6" s="3189"/>
      <c r="T6" s="3211"/>
      <c r="U6" s="3212"/>
      <c r="V6" s="3213"/>
      <c r="W6" s="3213"/>
      <c r="X6" s="1810"/>
      <c r="Y6" s="3211"/>
      <c r="Z6" s="3212"/>
      <c r="AA6" s="3183"/>
      <c r="AB6" s="3183"/>
      <c r="AC6" s="3183"/>
    </row>
    <row r="7" spans="1:29" s="115" customFormat="1" ht="15.75" thickBot="1">
      <c r="A7" s="406" t="s">
        <v>2551</v>
      </c>
      <c r="B7" s="407"/>
      <c r="C7" s="408">
        <f>'数据-取费表'!B2</f>
        <v>43056</v>
      </c>
      <c r="D7" s="409">
        <v>100</v>
      </c>
      <c r="E7" s="410"/>
      <c r="F7" s="411">
        <f>SUMIF(65:65,YEAR(E7)&amp;"-"&amp;INT((MONTH(E7)+2)/3),66:66)</f>
        <v>0</v>
      </c>
      <c r="G7" s="2688"/>
      <c r="H7" s="409">
        <f>SUMIF(65:65,YEAR(G7)&amp;"-"&amp;INT((MONTH(G7)+2)/3),66:66)</f>
        <v>0</v>
      </c>
      <c r="I7" s="2688"/>
      <c r="J7" s="409">
        <f>SUMIF(65:65,YEAR(I7)&amp;"-"&amp;INT((MONTH(I7)+2)/3),66:66)</f>
        <v>0</v>
      </c>
      <c r="K7" s="609"/>
      <c r="L7" s="1130"/>
      <c r="M7" s="1131"/>
      <c r="N7" s="1131"/>
      <c r="O7" s="1131"/>
      <c r="P7" s="3184" t="s">
        <v>2552</v>
      </c>
      <c r="Q7" s="3214"/>
      <c r="R7" s="767" t="s">
        <v>17</v>
      </c>
      <c r="S7" s="768">
        <f t="shared" ref="S7:S15" si="0">F7</f>
        <v>0</v>
      </c>
      <c r="T7" s="767" t="s">
        <v>17</v>
      </c>
      <c r="U7" s="768">
        <f t="shared" ref="U7:U15" si="1">H7</f>
        <v>0</v>
      </c>
      <c r="V7" s="767" t="s">
        <v>17</v>
      </c>
      <c r="W7" s="768">
        <f t="shared" ref="W7:W15" si="2">J7</f>
        <v>0</v>
      </c>
      <c r="X7" s="769"/>
      <c r="Y7" s="3184" t="s">
        <v>2552</v>
      </c>
      <c r="Z7" s="3185"/>
      <c r="AA7" s="770" t="e">
        <f>D7/F7</f>
        <v>#DIV/0!</v>
      </c>
      <c r="AB7" s="770" t="e">
        <f>D7/H7</f>
        <v>#DIV/0!</v>
      </c>
      <c r="AC7" s="770" t="e">
        <f>D7/J7</f>
        <v>#DIV/0!</v>
      </c>
    </row>
    <row r="8" spans="1:29" s="115" customFormat="1" ht="15.75" thickBot="1">
      <c r="A8" s="406" t="s">
        <v>2553</v>
      </c>
      <c r="B8" s="407"/>
      <c r="C8" s="412" t="s">
        <v>2554</v>
      </c>
      <c r="D8" s="409">
        <v>100</v>
      </c>
      <c r="E8" s="412"/>
      <c r="F8" s="411">
        <f>SUMIF(68:68,E8,69:69)-SUMIF(68:68,C8,69:69)+100</f>
        <v>0</v>
      </c>
      <c r="G8" s="412"/>
      <c r="H8" s="409">
        <f>SUMIF(68:68,G8,69:69)-SUMIF(68:68,C8,69:69)+100</f>
        <v>0</v>
      </c>
      <c r="I8" s="412"/>
      <c r="J8" s="409">
        <f>SUMIF(68:68,I8,69:69)-SUMIF(68:68,C8,69:69)+100</f>
        <v>0</v>
      </c>
      <c r="K8" s="609"/>
      <c r="L8" s="1130"/>
      <c r="M8" s="1131"/>
      <c r="N8" s="1131"/>
      <c r="O8" s="1131"/>
      <c r="P8" s="3184" t="s">
        <v>2555</v>
      </c>
      <c r="Q8" s="3185"/>
      <c r="R8" s="767" t="s">
        <v>17</v>
      </c>
      <c r="S8" s="768">
        <f t="shared" si="0"/>
        <v>0</v>
      </c>
      <c r="T8" s="767" t="s">
        <v>17</v>
      </c>
      <c r="U8" s="768">
        <f t="shared" si="1"/>
        <v>0</v>
      </c>
      <c r="V8" s="767" t="s">
        <v>17</v>
      </c>
      <c r="W8" s="768">
        <f t="shared" si="2"/>
        <v>0</v>
      </c>
      <c r="X8" s="769"/>
      <c r="Y8" s="3184" t="s">
        <v>2555</v>
      </c>
      <c r="Z8" s="3185"/>
      <c r="AA8" s="770" t="e">
        <f t="shared" ref="AA8:AA40" si="3">D8/F8</f>
        <v>#DIV/0!</v>
      </c>
      <c r="AB8" s="770" t="e">
        <f t="shared" ref="AB8:AB40" si="4">D8/H8</f>
        <v>#DIV/0!</v>
      </c>
      <c r="AC8" s="770" t="e">
        <f t="shared" ref="AC8:AC40" si="5">D8/J8</f>
        <v>#DIV/0!</v>
      </c>
    </row>
    <row r="9" spans="1:29" s="115" customFormat="1">
      <c r="A9" s="413" t="s">
        <v>2556</v>
      </c>
      <c r="B9" s="70" t="s">
        <v>2557</v>
      </c>
      <c r="C9" s="2691"/>
      <c r="D9" s="132">
        <v>100</v>
      </c>
      <c r="E9" s="2691"/>
      <c r="F9" s="132">
        <f>SUMIF(70:70,E9,71:71)-SUMIF(70:70,C9,71:71)+100</f>
        <v>100</v>
      </c>
      <c r="G9" s="2691"/>
      <c r="H9" s="132">
        <f>SUMIF(70:70,G9,71:71)-SUMIF(70:70,C9,71:71)+100</f>
        <v>100</v>
      </c>
      <c r="I9" s="2691"/>
      <c r="J9" s="132">
        <f>SUMIF(70:70,I9,71:71)-SUMIF(70:70,C9,71:71)+100</f>
        <v>100</v>
      </c>
      <c r="K9" s="609"/>
      <c r="L9" s="1130"/>
      <c r="M9" s="1131"/>
      <c r="N9" s="1131"/>
      <c r="O9" s="1132"/>
      <c r="P9" s="3200" t="s">
        <v>2558</v>
      </c>
      <c r="Q9" s="1792" t="str">
        <f t="shared" ref="Q9:Q15" si="6">B9</f>
        <v>用途</v>
      </c>
      <c r="R9" s="767" t="s">
        <v>17</v>
      </c>
      <c r="S9" s="768">
        <f t="shared" si="0"/>
        <v>100</v>
      </c>
      <c r="T9" s="767" t="s">
        <v>17</v>
      </c>
      <c r="U9" s="768">
        <f t="shared" si="1"/>
        <v>100</v>
      </c>
      <c r="V9" s="767" t="s">
        <v>17</v>
      </c>
      <c r="W9" s="768">
        <f t="shared" si="2"/>
        <v>100</v>
      </c>
      <c r="X9" s="769"/>
      <c r="Y9" s="3058" t="s">
        <v>2559</v>
      </c>
      <c r="Z9" s="54" t="str">
        <f t="shared" ref="Z9:Z15" si="7">Q9</f>
        <v>用途</v>
      </c>
      <c r="AA9" s="770">
        <f t="shared" si="3"/>
        <v>1</v>
      </c>
      <c r="AB9" s="770">
        <f t="shared" si="4"/>
        <v>1</v>
      </c>
      <c r="AC9" s="770">
        <f t="shared" si="5"/>
        <v>1</v>
      </c>
    </row>
    <row r="10" spans="1:29" s="425" customFormat="1" ht="27">
      <c r="A10" s="419"/>
      <c r="B10" s="420" t="s">
        <v>2560</v>
      </c>
      <c r="C10" s="430"/>
      <c r="D10" s="133">
        <v>100</v>
      </c>
      <c r="E10" s="430"/>
      <c r="F10" s="133">
        <f>ROUND(100/'数据-取费表'!G16,0)</f>
        <v>101</v>
      </c>
      <c r="G10" s="430"/>
      <c r="H10" s="133">
        <f>ROUND(100/'数据-取费表'!G16,0)</f>
        <v>101</v>
      </c>
      <c r="I10" s="430"/>
      <c r="J10" s="133">
        <f>ROUND(100/'数据-取费表'!G16,0)</f>
        <v>101</v>
      </c>
      <c r="K10" s="670"/>
      <c r="L10" s="1133"/>
      <c r="M10" s="1134"/>
      <c r="N10" s="1134"/>
      <c r="O10" s="1135"/>
      <c r="P10" s="3200"/>
      <c r="Q10" s="1792" t="str">
        <f t="shared" si="6"/>
        <v>土地使用年限（年）</v>
      </c>
      <c r="R10" s="767" t="s">
        <v>17</v>
      </c>
      <c r="S10" s="768">
        <f t="shared" si="0"/>
        <v>101</v>
      </c>
      <c r="T10" s="767" t="s">
        <v>17</v>
      </c>
      <c r="U10" s="768">
        <f t="shared" si="1"/>
        <v>101</v>
      </c>
      <c r="V10" s="767" t="s">
        <v>17</v>
      </c>
      <c r="W10" s="768">
        <f t="shared" si="2"/>
        <v>101</v>
      </c>
      <c r="X10" s="769"/>
      <c r="Y10" s="3058"/>
      <c r="Z10" s="54" t="str">
        <f t="shared" si="7"/>
        <v>土地使用年限（年）</v>
      </c>
      <c r="AA10" s="770">
        <f t="shared" si="3"/>
        <v>0.99009900990099009</v>
      </c>
      <c r="AB10" s="770">
        <f t="shared" si="4"/>
        <v>0.99009900990099009</v>
      </c>
      <c r="AC10" s="770">
        <f t="shared" si="5"/>
        <v>0.99009900990099009</v>
      </c>
    </row>
    <row r="11" spans="1:29" ht="15">
      <c r="A11" s="426"/>
      <c r="B11" s="420" t="s">
        <v>2561</v>
      </c>
      <c r="C11" s="427"/>
      <c r="D11" s="133">
        <v>100</v>
      </c>
      <c r="E11" s="427"/>
      <c r="F11" s="133" t="e">
        <f>LOOKUP(E11,75:75,76:76)-LOOKUP(C11,75:75,76:76)+100</f>
        <v>#N/A</v>
      </c>
      <c r="G11" s="428"/>
      <c r="H11" s="133" t="e">
        <f>LOOKUP(G11,75:75,76:76)-LOOKUP(C11,75:75,76:76)+100</f>
        <v>#N/A</v>
      </c>
      <c r="I11" s="427"/>
      <c r="J11" s="133" t="e">
        <f>LOOKUP(I11,75:75,76:76)-LOOKUP(C11,75:75,76:76)+100</f>
        <v>#N/A</v>
      </c>
      <c r="K11" s="671"/>
      <c r="L11" s="1136"/>
      <c r="M11" s="1129"/>
      <c r="N11" s="1129"/>
      <c r="O11" s="1137"/>
      <c r="P11" s="3200"/>
      <c r="Q11" s="1792" t="str">
        <f t="shared" si="6"/>
        <v>容积率</v>
      </c>
      <c r="R11" s="767" t="s">
        <v>17</v>
      </c>
      <c r="S11" s="768" t="e">
        <f t="shared" si="0"/>
        <v>#N/A</v>
      </c>
      <c r="T11" s="767" t="s">
        <v>17</v>
      </c>
      <c r="U11" s="768" t="e">
        <f t="shared" si="1"/>
        <v>#N/A</v>
      </c>
      <c r="V11" s="767" t="s">
        <v>17</v>
      </c>
      <c r="W11" s="768" t="e">
        <f t="shared" si="2"/>
        <v>#N/A</v>
      </c>
      <c r="X11" s="769"/>
      <c r="Y11" s="3058"/>
      <c r="Z11" s="54" t="str">
        <f t="shared" si="7"/>
        <v>容积率</v>
      </c>
      <c r="AA11" s="770" t="e">
        <f t="shared" si="3"/>
        <v>#N/A</v>
      </c>
      <c r="AB11" s="770" t="e">
        <f t="shared" si="4"/>
        <v>#N/A</v>
      </c>
      <c r="AC11" s="770" t="e">
        <f t="shared" si="5"/>
        <v>#N/A</v>
      </c>
    </row>
    <row r="12" spans="1:29" s="115" customFormat="1" ht="15">
      <c r="A12" s="429"/>
      <c r="B12" s="2594">
        <v>111</v>
      </c>
      <c r="C12" s="430"/>
      <c r="D12" s="431">
        <v>100</v>
      </c>
      <c r="E12" s="547"/>
      <c r="F12" s="133">
        <f>SUMIF(77:77,E12,78:78)-SUMIF(77:77,C12,78:78)+100</f>
        <v>100</v>
      </c>
      <c r="G12" s="672"/>
      <c r="H12" s="133">
        <f>SUMIF(77:77,G12,78:78)-SUMIF(77:77,C12,78:78)+100</f>
        <v>100</v>
      </c>
      <c r="I12" s="547"/>
      <c r="J12" s="133">
        <f>SUMIF(77:77,I12,78:78)-SUMIF(77:77,C12,78:78)+100</f>
        <v>100</v>
      </c>
      <c r="K12" s="670"/>
      <c r="L12" s="1130"/>
      <c r="M12" s="1131"/>
      <c r="N12" s="1131"/>
      <c r="O12" s="1132"/>
      <c r="P12" s="3200"/>
      <c r="Q12" s="1792">
        <f t="shared" si="6"/>
        <v>111</v>
      </c>
      <c r="R12" s="767" t="s">
        <v>17</v>
      </c>
      <c r="S12" s="768">
        <f t="shared" si="0"/>
        <v>100</v>
      </c>
      <c r="T12" s="767" t="s">
        <v>17</v>
      </c>
      <c r="U12" s="768">
        <f t="shared" si="1"/>
        <v>100</v>
      </c>
      <c r="V12" s="767" t="s">
        <v>17</v>
      </c>
      <c r="W12" s="768">
        <f t="shared" si="2"/>
        <v>100</v>
      </c>
      <c r="X12" s="769"/>
      <c r="Y12" s="3058"/>
      <c r="Z12" s="54">
        <f t="shared" si="7"/>
        <v>111</v>
      </c>
      <c r="AA12" s="770">
        <f>D12/F12</f>
        <v>1</v>
      </c>
      <c r="AB12" s="770">
        <f>D12/H12</f>
        <v>1</v>
      </c>
      <c r="AC12" s="770">
        <f>D12/J12</f>
        <v>1</v>
      </c>
    </row>
    <row r="13" spans="1:29" ht="15">
      <c r="A13" s="426"/>
      <c r="B13" s="2594">
        <v>111</v>
      </c>
      <c r="C13" s="432"/>
      <c r="D13" s="433">
        <v>100</v>
      </c>
      <c r="E13" s="547"/>
      <c r="F13" s="133">
        <f>SUMIF(79:79,E13,80:80)-SUMIF(79:79,C13,80:80)+100</f>
        <v>100</v>
      </c>
      <c r="G13" s="672"/>
      <c r="H13" s="433">
        <f>SUMIF(79:79,G13,80:80)-SUMIF(79:79,C13,80:80)+100</f>
        <v>100</v>
      </c>
      <c r="I13" s="547"/>
      <c r="J13" s="433">
        <f>SUMIF(79:79,I13,80:80)-SUMIF(79:79,C13,80:80)+100</f>
        <v>100</v>
      </c>
      <c r="K13" s="670"/>
      <c r="L13" s="1138"/>
      <c r="M13" s="1129"/>
      <c r="N13" s="1129"/>
      <c r="O13" s="1137"/>
      <c r="P13" s="3200"/>
      <c r="Q13" s="1792">
        <f t="shared" si="6"/>
        <v>111</v>
      </c>
      <c r="R13" s="767" t="s">
        <v>17</v>
      </c>
      <c r="S13" s="768">
        <f t="shared" si="0"/>
        <v>100</v>
      </c>
      <c r="T13" s="767" t="s">
        <v>17</v>
      </c>
      <c r="U13" s="768">
        <f t="shared" si="1"/>
        <v>100</v>
      </c>
      <c r="V13" s="767" t="s">
        <v>17</v>
      </c>
      <c r="W13" s="768">
        <f t="shared" si="2"/>
        <v>100</v>
      </c>
      <c r="X13" s="769"/>
      <c r="Y13" s="3058"/>
      <c r="Z13" s="54">
        <f t="shared" si="7"/>
        <v>111</v>
      </c>
      <c r="AA13" s="770">
        <f t="shared" si="3"/>
        <v>1</v>
      </c>
      <c r="AB13" s="770">
        <f t="shared" si="4"/>
        <v>1</v>
      </c>
      <c r="AC13" s="770">
        <f t="shared" si="5"/>
        <v>1</v>
      </c>
    </row>
    <row r="14" spans="1:29" ht="15.75" thickBot="1">
      <c r="A14" s="434"/>
      <c r="B14" s="2596">
        <v>111</v>
      </c>
      <c r="C14" s="435"/>
      <c r="D14" s="436">
        <v>100</v>
      </c>
      <c r="E14" s="547"/>
      <c r="F14" s="436">
        <f>SUMIF(81:81,E14,82:82)-SUMIF(81:81,C14,82:82)+100</f>
        <v>100</v>
      </c>
      <c r="G14" s="672"/>
      <c r="H14" s="436">
        <f>SUMIF(81:81,G14,82:82)-SUMIF(81:81,C14,82:82)+100</f>
        <v>100</v>
      </c>
      <c r="I14" s="547"/>
      <c r="J14" s="436">
        <f>SUMIF(81:81,I14,82:82)-SUMIF(81:81,C14,82:82)+100</f>
        <v>100</v>
      </c>
      <c r="K14" s="670"/>
      <c r="L14" s="1138"/>
      <c r="M14" s="1129"/>
      <c r="N14" s="1129"/>
      <c r="O14" s="1137"/>
      <c r="P14" s="3200"/>
      <c r="Q14" s="1792">
        <f t="shared" si="6"/>
        <v>111</v>
      </c>
      <c r="R14" s="767" t="s">
        <v>17</v>
      </c>
      <c r="S14" s="768">
        <f t="shared" si="0"/>
        <v>100</v>
      </c>
      <c r="T14" s="767" t="s">
        <v>17</v>
      </c>
      <c r="U14" s="768">
        <f t="shared" si="1"/>
        <v>100</v>
      </c>
      <c r="V14" s="767" t="s">
        <v>17</v>
      </c>
      <c r="W14" s="768">
        <f t="shared" si="2"/>
        <v>100</v>
      </c>
      <c r="X14" s="769"/>
      <c r="Y14" s="3058"/>
      <c r="Z14" s="54">
        <f t="shared" si="7"/>
        <v>111</v>
      </c>
      <c r="AA14" s="770">
        <f t="shared" si="3"/>
        <v>1</v>
      </c>
      <c r="AB14" s="770">
        <f t="shared" si="4"/>
        <v>1</v>
      </c>
      <c r="AC14" s="770">
        <f t="shared" si="5"/>
        <v>1</v>
      </c>
    </row>
    <row r="15" spans="1:29" ht="57">
      <c r="A15" s="438" t="s">
        <v>2562</v>
      </c>
      <c r="B15" s="627" t="s">
        <v>2801</v>
      </c>
      <c r="C15" s="2685"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38"/>
      <c r="M15" s="1129"/>
      <c r="N15" s="1129"/>
      <c r="O15" s="1137"/>
      <c r="P15" s="3215" t="s">
        <v>2563</v>
      </c>
      <c r="Q15" s="1807" t="str">
        <f t="shared" si="6"/>
        <v>产业集聚程度</v>
      </c>
      <c r="R15" s="771" t="s">
        <v>17</v>
      </c>
      <c r="S15" s="772">
        <f t="shared" si="0"/>
        <v>100</v>
      </c>
      <c r="T15" s="771" t="s">
        <v>17</v>
      </c>
      <c r="U15" s="772">
        <f t="shared" si="1"/>
        <v>100</v>
      </c>
      <c r="V15" s="771" t="s">
        <v>17</v>
      </c>
      <c r="W15" s="772">
        <f t="shared" si="2"/>
        <v>100</v>
      </c>
      <c r="X15" s="1810"/>
      <c r="Y15" s="3215" t="s">
        <v>2563</v>
      </c>
      <c r="Z15" s="1811" t="str">
        <f t="shared" si="7"/>
        <v>产业集聚程度</v>
      </c>
      <c r="AA15" s="1808">
        <f t="shared" si="3"/>
        <v>1</v>
      </c>
      <c r="AB15" s="1808">
        <f t="shared" si="4"/>
        <v>1</v>
      </c>
      <c r="AC15" s="1808">
        <f t="shared" si="5"/>
        <v>1</v>
      </c>
    </row>
    <row r="16" spans="1:29" ht="15">
      <c r="A16" s="426"/>
      <c r="B16" s="628"/>
      <c r="C16" s="445"/>
      <c r="D16" s="446"/>
      <c r="E16" s="2605"/>
      <c r="F16" s="446"/>
      <c r="G16" s="2605"/>
      <c r="H16" s="448"/>
      <c r="I16" s="2605"/>
      <c r="J16" s="446"/>
      <c r="K16" s="670"/>
      <c r="L16" s="1138"/>
      <c r="M16" s="1129"/>
      <c r="N16" s="1129"/>
      <c r="O16" s="1137"/>
      <c r="P16" s="3216"/>
      <c r="Q16" s="1807"/>
      <c r="R16" s="771"/>
      <c r="S16" s="772"/>
      <c r="T16" s="771"/>
      <c r="U16" s="772"/>
      <c r="V16" s="771"/>
      <c r="W16" s="772"/>
      <c r="X16" s="1810"/>
      <c r="Y16" s="3216"/>
      <c r="Z16" s="1811"/>
      <c r="AA16" s="1808">
        <v>1</v>
      </c>
      <c r="AB16" s="1808">
        <v>1</v>
      </c>
      <c r="AC16" s="1808">
        <v>1</v>
      </c>
    </row>
    <row r="17" spans="1:29" ht="85.5">
      <c r="A17" s="426"/>
      <c r="B17" s="629" t="s">
        <v>2712</v>
      </c>
      <c r="C17" s="2601"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8"/>
      <c r="M17" s="1129"/>
      <c r="N17" s="1129"/>
      <c r="O17" s="1137"/>
      <c r="P17" s="3216"/>
      <c r="Q17" s="1807" t="str">
        <f>B17</f>
        <v>交通便捷度</v>
      </c>
      <c r="R17" s="771" t="s">
        <v>17</v>
      </c>
      <c r="S17" s="772">
        <f>F17</f>
        <v>100</v>
      </c>
      <c r="T17" s="771" t="s">
        <v>17</v>
      </c>
      <c r="U17" s="772">
        <f>H17</f>
        <v>100</v>
      </c>
      <c r="V17" s="771" t="s">
        <v>17</v>
      </c>
      <c r="W17" s="772">
        <f>J17</f>
        <v>100</v>
      </c>
      <c r="X17" s="1810"/>
      <c r="Y17" s="3216"/>
      <c r="Z17" s="1811" t="str">
        <f>Q17</f>
        <v>交通便捷度</v>
      </c>
      <c r="AA17" s="1808">
        <f t="shared" si="3"/>
        <v>1</v>
      </c>
      <c r="AB17" s="1808">
        <f t="shared" si="4"/>
        <v>1</v>
      </c>
      <c r="AC17" s="1808">
        <f t="shared" si="5"/>
        <v>1</v>
      </c>
    </row>
    <row r="18" spans="1:29" ht="15">
      <c r="A18" s="426"/>
      <c r="B18" s="630"/>
      <c r="C18" s="445"/>
      <c r="D18" s="446"/>
      <c r="E18" s="2599"/>
      <c r="F18" s="446"/>
      <c r="G18" s="2599"/>
      <c r="H18" s="446"/>
      <c r="I18" s="2598"/>
      <c r="J18" s="446"/>
      <c r="K18" s="670"/>
      <c r="L18" s="1138"/>
      <c r="M18" s="1129"/>
      <c r="N18" s="1129"/>
      <c r="O18" s="1137"/>
      <c r="P18" s="3216"/>
      <c r="Q18" s="1807"/>
      <c r="R18" s="771"/>
      <c r="S18" s="772"/>
      <c r="T18" s="771"/>
      <c r="U18" s="772"/>
      <c r="V18" s="771"/>
      <c r="W18" s="772"/>
      <c r="X18" s="1810"/>
      <c r="Y18" s="3216"/>
      <c r="Z18" s="1811"/>
      <c r="AA18" s="1808">
        <v>1</v>
      </c>
      <c r="AB18" s="1808">
        <v>1</v>
      </c>
      <c r="AC18" s="1808">
        <v>1</v>
      </c>
    </row>
    <row r="19" spans="1:29" ht="15">
      <c r="A19" s="426"/>
      <c r="B19" s="629" t="s">
        <v>2751</v>
      </c>
      <c r="C19" s="2601">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8"/>
      <c r="M19" s="1129"/>
      <c r="N19" s="1129"/>
      <c r="O19" s="1137"/>
      <c r="P19" s="3216"/>
      <c r="Q19" s="1807" t="str">
        <f t="shared" ref="Q19:Q33" si="8">B19</f>
        <v>区域土地利用方向</v>
      </c>
      <c r="R19" s="771" t="s">
        <v>17</v>
      </c>
      <c r="S19" s="772">
        <f>F19</f>
        <v>100</v>
      </c>
      <c r="T19" s="771" t="s">
        <v>17</v>
      </c>
      <c r="U19" s="772">
        <f>H19</f>
        <v>100</v>
      </c>
      <c r="V19" s="771" t="s">
        <v>17</v>
      </c>
      <c r="W19" s="772">
        <f>J19</f>
        <v>100</v>
      </c>
      <c r="X19" s="1810"/>
      <c r="Y19" s="3216"/>
      <c r="Z19" s="1811" t="str">
        <f>Q19</f>
        <v>区域土地利用方向</v>
      </c>
      <c r="AA19" s="1808">
        <f t="shared" si="3"/>
        <v>1</v>
      </c>
      <c r="AB19" s="1808">
        <f t="shared" si="4"/>
        <v>1</v>
      </c>
      <c r="AC19" s="1808">
        <f t="shared" si="5"/>
        <v>1</v>
      </c>
    </row>
    <row r="20" spans="1:29" ht="15">
      <c r="A20" s="402"/>
      <c r="B20" s="630"/>
      <c r="C20" s="445"/>
      <c r="D20" s="446"/>
      <c r="E20" s="2599"/>
      <c r="F20" s="446"/>
      <c r="G20" s="2599"/>
      <c r="H20" s="446"/>
      <c r="I20" s="2599"/>
      <c r="J20" s="446"/>
      <c r="K20" s="807"/>
      <c r="L20" s="1138"/>
      <c r="M20" s="1129"/>
      <c r="N20" s="1129"/>
      <c r="O20" s="1137"/>
      <c r="P20" s="3216"/>
      <c r="Q20" s="1807"/>
      <c r="R20" s="771"/>
      <c r="S20" s="772"/>
      <c r="T20" s="771"/>
      <c r="U20" s="772"/>
      <c r="V20" s="771"/>
      <c r="W20" s="772"/>
      <c r="X20" s="1810"/>
      <c r="Y20" s="3216"/>
      <c r="Z20" s="1811"/>
      <c r="AA20" s="1808"/>
      <c r="AB20" s="1808"/>
      <c r="AC20" s="1808"/>
    </row>
    <row r="21" spans="1:29" ht="71.25">
      <c r="A21" s="402"/>
      <c r="B21" s="629" t="s">
        <v>2802</v>
      </c>
      <c r="C21" s="2601"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38"/>
      <c r="M21" s="1129"/>
      <c r="N21" s="1129"/>
      <c r="O21" s="1137"/>
      <c r="P21" s="3216"/>
      <c r="Q21" s="1807" t="str">
        <f t="shared" si="8"/>
        <v>环境状况</v>
      </c>
      <c r="R21" s="771" t="s">
        <v>17</v>
      </c>
      <c r="S21" s="772">
        <f>F21</f>
        <v>100</v>
      </c>
      <c r="T21" s="771" t="s">
        <v>17</v>
      </c>
      <c r="U21" s="772">
        <f>H21</f>
        <v>100</v>
      </c>
      <c r="V21" s="771" t="s">
        <v>17</v>
      </c>
      <c r="W21" s="772">
        <f>J21</f>
        <v>100</v>
      </c>
      <c r="X21" s="1810"/>
      <c r="Y21" s="3216"/>
      <c r="Z21" s="1811" t="str">
        <f>Q21</f>
        <v>环境状况</v>
      </c>
      <c r="AA21" s="1808">
        <f t="shared" si="3"/>
        <v>1</v>
      </c>
      <c r="AB21" s="1808">
        <f t="shared" si="4"/>
        <v>1</v>
      </c>
      <c r="AC21" s="1808">
        <f t="shared" si="5"/>
        <v>1</v>
      </c>
    </row>
    <row r="22" spans="1:29" ht="15">
      <c r="A22" s="402"/>
      <c r="B22" s="630"/>
      <c r="C22" s="445"/>
      <c r="D22" s="446"/>
      <c r="E22" s="2605"/>
      <c r="F22" s="446"/>
      <c r="G22" s="2605"/>
      <c r="H22" s="446"/>
      <c r="I22" s="445"/>
      <c r="J22" s="446"/>
      <c r="K22" s="670"/>
      <c r="L22" s="1138"/>
      <c r="M22" s="1129"/>
      <c r="N22" s="1129"/>
      <c r="O22" s="1137"/>
      <c r="P22" s="3216"/>
      <c r="Q22" s="1807"/>
      <c r="R22" s="771"/>
      <c r="S22" s="772"/>
      <c r="T22" s="771"/>
      <c r="U22" s="772"/>
      <c r="V22" s="771"/>
      <c r="W22" s="772"/>
      <c r="X22" s="1810"/>
      <c r="Y22" s="3216"/>
      <c r="Z22" s="1811"/>
      <c r="AA22" s="1808">
        <v>1</v>
      </c>
      <c r="AB22" s="1808">
        <v>1</v>
      </c>
      <c r="AC22" s="1808">
        <v>1</v>
      </c>
    </row>
    <row r="23" spans="1:29" s="115" customFormat="1" ht="42.75">
      <c r="A23" s="647"/>
      <c r="B23" s="631" t="s">
        <v>2657</v>
      </c>
      <c r="C23" s="2601"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30"/>
      <c r="M23" s="1131"/>
      <c r="N23" s="1131"/>
      <c r="O23" s="1132"/>
      <c r="P23" s="3216"/>
      <c r="Q23" s="1792" t="str">
        <f t="shared" si="8"/>
        <v>公共配套设施</v>
      </c>
      <c r="R23" s="767" t="s">
        <v>17</v>
      </c>
      <c r="S23" s="768">
        <f>F23</f>
        <v>100</v>
      </c>
      <c r="T23" s="767" t="s">
        <v>17</v>
      </c>
      <c r="U23" s="768">
        <f>H23</f>
        <v>100</v>
      </c>
      <c r="V23" s="767" t="s">
        <v>17</v>
      </c>
      <c r="W23" s="768">
        <f>J23</f>
        <v>100</v>
      </c>
      <c r="X23" s="769"/>
      <c r="Y23" s="3216"/>
      <c r="Z23" s="54" t="str">
        <f>Q23</f>
        <v>公共配套设施</v>
      </c>
      <c r="AA23" s="1808">
        <f>D23/F23</f>
        <v>1</v>
      </c>
      <c r="AB23" s="1808">
        <f>D23/H23</f>
        <v>1</v>
      </c>
      <c r="AC23" s="1808">
        <f>D23/J23</f>
        <v>1</v>
      </c>
    </row>
    <row r="24" spans="1:29" s="115" customFormat="1" ht="15">
      <c r="A24" s="647"/>
      <c r="B24" s="630"/>
      <c r="C24" s="2692"/>
      <c r="D24" s="446"/>
      <c r="E24" s="2605"/>
      <c r="F24" s="446"/>
      <c r="G24" s="2605"/>
      <c r="H24" s="446"/>
      <c r="I24" s="445"/>
      <c r="J24" s="446"/>
      <c r="K24" s="670"/>
      <c r="L24" s="1130"/>
      <c r="M24" s="1131"/>
      <c r="N24" s="1131"/>
      <c r="O24" s="1132"/>
      <c r="P24" s="3216"/>
      <c r="Q24" s="1792"/>
      <c r="R24" s="767"/>
      <c r="S24" s="768"/>
      <c r="T24" s="767"/>
      <c r="U24" s="768"/>
      <c r="V24" s="767"/>
      <c r="W24" s="768"/>
      <c r="X24" s="769"/>
      <c r="Y24" s="3216"/>
      <c r="Z24" s="54"/>
      <c r="AA24" s="770">
        <v>1</v>
      </c>
      <c r="AB24" s="770">
        <v>1</v>
      </c>
      <c r="AC24" s="770">
        <v>1</v>
      </c>
    </row>
    <row r="25" spans="1:29" s="115" customFormat="1" ht="28.5">
      <c r="A25" s="647"/>
      <c r="B25" s="631" t="s">
        <v>2658</v>
      </c>
      <c r="C25" s="2601"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30"/>
      <c r="M25" s="1131"/>
      <c r="N25" s="1131"/>
      <c r="O25" s="1132"/>
      <c r="P25" s="3216"/>
      <c r="Q25" s="1792" t="str">
        <f t="shared" ref="Q25" si="9">B25</f>
        <v>基础设施水平</v>
      </c>
      <c r="R25" s="767" t="s">
        <v>17</v>
      </c>
      <c r="S25" s="768">
        <f>F25</f>
        <v>100</v>
      </c>
      <c r="T25" s="767" t="s">
        <v>17</v>
      </c>
      <c r="U25" s="768">
        <f>H25</f>
        <v>100</v>
      </c>
      <c r="V25" s="767" t="s">
        <v>17</v>
      </c>
      <c r="W25" s="768">
        <f>J25</f>
        <v>100</v>
      </c>
      <c r="X25" s="769"/>
      <c r="Y25" s="3216"/>
      <c r="Z25" s="54" t="str">
        <f>Q25</f>
        <v>基础设施水平</v>
      </c>
      <c r="AA25" s="1808">
        <f>D25/F25</f>
        <v>1</v>
      </c>
      <c r="AB25" s="1808">
        <f>D25/H25</f>
        <v>1</v>
      </c>
      <c r="AC25" s="1808">
        <f>D25/J25</f>
        <v>1</v>
      </c>
    </row>
    <row r="26" spans="1:29" s="115" customFormat="1" ht="15">
      <c r="A26" s="647"/>
      <c r="B26" s="630"/>
      <c r="C26" s="2692"/>
      <c r="D26" s="446"/>
      <c r="E26" s="2693"/>
      <c r="F26" s="446"/>
      <c r="G26" s="2693"/>
      <c r="H26" s="446"/>
      <c r="I26" s="2693"/>
      <c r="J26" s="446"/>
      <c r="K26" s="670"/>
      <c r="L26" s="1130"/>
      <c r="M26" s="1131"/>
      <c r="N26" s="1131"/>
      <c r="O26" s="1132"/>
      <c r="P26" s="3216"/>
      <c r="Q26" s="1792"/>
      <c r="R26" s="767"/>
      <c r="S26" s="768"/>
      <c r="T26" s="767"/>
      <c r="U26" s="768"/>
      <c r="V26" s="767"/>
      <c r="W26" s="768"/>
      <c r="X26" s="769"/>
      <c r="Y26" s="3216"/>
      <c r="Z26" s="54"/>
      <c r="AA26" s="770">
        <v>1</v>
      </c>
      <c r="AB26" s="770">
        <v>1</v>
      </c>
      <c r="AC26" s="770">
        <v>1</v>
      </c>
    </row>
    <row r="27" spans="1:29" ht="15">
      <c r="A27" s="426"/>
      <c r="B27" s="630" t="s">
        <v>2659</v>
      </c>
      <c r="C27" s="614"/>
      <c r="D27" s="433">
        <v>100</v>
      </c>
      <c r="E27" s="632"/>
      <c r="F27" s="433">
        <f>SUMIF(95:95,E27,96:96)-SUMIF(95:95,C27,96:96)+100</f>
        <v>100</v>
      </c>
      <c r="G27" s="632"/>
      <c r="H27" s="433">
        <f>SUMIF(95:95,G27,96:96)-SUMIF(95:95,C27,96:96)+100</f>
        <v>100</v>
      </c>
      <c r="I27" s="632"/>
      <c r="J27" s="433">
        <f>SUMIF(95:95,I27,96:96)-SUMIF(95:95,C27,96:96)+100</f>
        <v>100</v>
      </c>
      <c r="K27" s="671"/>
      <c r="L27" s="1138"/>
      <c r="M27" s="1129"/>
      <c r="N27" s="1129"/>
      <c r="O27" s="1137"/>
      <c r="P27" s="3216"/>
      <c r="Q27" s="1807" t="str">
        <f t="shared" si="8"/>
        <v>临街状况</v>
      </c>
      <c r="R27" s="771" t="s">
        <v>17</v>
      </c>
      <c r="S27" s="772">
        <f t="shared" ref="S27:S40" si="10">F27</f>
        <v>100</v>
      </c>
      <c r="T27" s="771" t="s">
        <v>17</v>
      </c>
      <c r="U27" s="772">
        <f t="shared" ref="U27:U40" si="11">H27</f>
        <v>100</v>
      </c>
      <c r="V27" s="771" t="s">
        <v>17</v>
      </c>
      <c r="W27" s="772">
        <f t="shared" ref="W27:W40" si="12">J27</f>
        <v>100</v>
      </c>
      <c r="X27" s="1810"/>
      <c r="Y27" s="3216"/>
      <c r="Z27" s="1811" t="str">
        <f t="shared" ref="Z27:Z40" si="13">Q27</f>
        <v>临街状况</v>
      </c>
      <c r="AA27" s="1808">
        <f t="shared" si="3"/>
        <v>1</v>
      </c>
      <c r="AB27" s="1808">
        <f t="shared" si="4"/>
        <v>1</v>
      </c>
      <c r="AC27" s="1808">
        <f t="shared" si="5"/>
        <v>1</v>
      </c>
    </row>
    <row r="28" spans="1:29" ht="27">
      <c r="A28" s="426"/>
      <c r="B28" s="631" t="s">
        <v>2694</v>
      </c>
      <c r="C28" s="2705">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8"/>
      <c r="M28" s="1129"/>
      <c r="N28" s="1129"/>
      <c r="O28" s="1137"/>
      <c r="P28" s="3216"/>
      <c r="Q28" s="1807" t="str">
        <f t="shared" si="8"/>
        <v>毗邻道路的类型与等级</v>
      </c>
      <c r="R28" s="771" t="s">
        <v>17</v>
      </c>
      <c r="S28" s="772">
        <f t="shared" si="10"/>
        <v>100</v>
      </c>
      <c r="T28" s="771" t="s">
        <v>17</v>
      </c>
      <c r="U28" s="772">
        <f t="shared" si="11"/>
        <v>100</v>
      </c>
      <c r="V28" s="771" t="s">
        <v>17</v>
      </c>
      <c r="W28" s="772">
        <f t="shared" si="12"/>
        <v>100</v>
      </c>
      <c r="X28" s="1810"/>
      <c r="Y28" s="3216"/>
      <c r="Z28" s="1811" t="str">
        <f t="shared" si="13"/>
        <v>毗邻道路的类型与等级</v>
      </c>
      <c r="AA28" s="1808">
        <f t="shared" si="3"/>
        <v>1</v>
      </c>
      <c r="AB28" s="1808">
        <f t="shared" si="4"/>
        <v>1</v>
      </c>
      <c r="AC28" s="1808">
        <f t="shared" si="5"/>
        <v>1</v>
      </c>
    </row>
    <row r="29" spans="1:29" ht="15">
      <c r="A29" s="426"/>
      <c r="B29" s="630"/>
      <c r="C29" s="445"/>
      <c r="D29" s="446"/>
      <c r="E29" s="2605"/>
      <c r="F29" s="446"/>
      <c r="G29" s="2605"/>
      <c r="H29" s="446"/>
      <c r="I29" s="2605"/>
      <c r="J29" s="446"/>
      <c r="K29" s="611"/>
      <c r="L29" s="1138"/>
      <c r="M29" s="1129"/>
      <c r="N29" s="1129"/>
      <c r="O29" s="1137"/>
      <c r="P29" s="3216"/>
      <c r="Q29" s="1807"/>
      <c r="R29" s="771"/>
      <c r="S29" s="772"/>
      <c r="T29" s="771"/>
      <c r="U29" s="772"/>
      <c r="V29" s="771"/>
      <c r="W29" s="772"/>
      <c r="X29" s="1810"/>
      <c r="Y29" s="3216"/>
      <c r="Z29" s="1811"/>
      <c r="AA29" s="1808">
        <v>1</v>
      </c>
      <c r="AB29" s="1808">
        <v>1</v>
      </c>
      <c r="AC29" s="1808">
        <v>1</v>
      </c>
    </row>
    <row r="30" spans="1:29" ht="15">
      <c r="A30" s="426"/>
      <c r="B30" s="652" t="s">
        <v>2753</v>
      </c>
      <c r="C30" s="1387">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8"/>
      <c r="M30" s="1129"/>
      <c r="N30" s="1129"/>
      <c r="O30" s="1137"/>
      <c r="P30" s="3216"/>
      <c r="Q30" s="1807" t="str">
        <f t="shared" si="8"/>
        <v>土地级别</v>
      </c>
      <c r="R30" s="771" t="s">
        <v>17</v>
      </c>
      <c r="S30" s="772">
        <f t="shared" si="10"/>
        <v>100</v>
      </c>
      <c r="T30" s="771" t="s">
        <v>17</v>
      </c>
      <c r="U30" s="772">
        <f t="shared" si="11"/>
        <v>100</v>
      </c>
      <c r="V30" s="771" t="s">
        <v>17</v>
      </c>
      <c r="W30" s="772">
        <f t="shared" si="12"/>
        <v>100</v>
      </c>
      <c r="X30" s="1810"/>
      <c r="Y30" s="3216"/>
      <c r="Z30" s="1811" t="str">
        <f t="shared" si="13"/>
        <v>土地级别</v>
      </c>
      <c r="AA30" s="1808">
        <f t="shared" si="3"/>
        <v>1</v>
      </c>
      <c r="AB30" s="1808">
        <f t="shared" si="4"/>
        <v>1</v>
      </c>
      <c r="AC30" s="1808">
        <f t="shared" si="5"/>
        <v>1</v>
      </c>
    </row>
    <row r="31" spans="1:29" ht="15">
      <c r="A31" s="402"/>
      <c r="B31" s="2670">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8"/>
      <c r="M31" s="1129"/>
      <c r="N31" s="1129"/>
      <c r="O31" s="1137"/>
      <c r="P31" s="3216"/>
      <c r="Q31" s="1807">
        <f t="shared" si="8"/>
        <v>111</v>
      </c>
      <c r="R31" s="771" t="s">
        <v>17</v>
      </c>
      <c r="S31" s="772">
        <f t="shared" si="10"/>
        <v>100</v>
      </c>
      <c r="T31" s="771" t="s">
        <v>17</v>
      </c>
      <c r="U31" s="772">
        <f t="shared" si="11"/>
        <v>100</v>
      </c>
      <c r="V31" s="771" t="s">
        <v>17</v>
      </c>
      <c r="W31" s="772">
        <f t="shared" si="12"/>
        <v>100</v>
      </c>
      <c r="X31" s="1810"/>
      <c r="Y31" s="3216"/>
      <c r="Z31" s="1811">
        <f t="shared" si="13"/>
        <v>111</v>
      </c>
      <c r="AA31" s="1808">
        <f t="shared" si="3"/>
        <v>1</v>
      </c>
      <c r="AB31" s="1808">
        <f t="shared" si="4"/>
        <v>1</v>
      </c>
      <c r="AC31" s="1808">
        <f t="shared" si="5"/>
        <v>1</v>
      </c>
    </row>
    <row r="32" spans="1:29" ht="15">
      <c r="A32" s="673"/>
      <c r="B32" s="2706">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8"/>
      <c r="M32" s="1129"/>
      <c r="N32" s="1129"/>
      <c r="O32" s="1137"/>
      <c r="P32" s="3217" t="s">
        <v>2568</v>
      </c>
      <c r="Q32" s="1807">
        <f t="shared" si="8"/>
        <v>111</v>
      </c>
      <c r="R32" s="771" t="s">
        <v>17</v>
      </c>
      <c r="S32" s="772">
        <f t="shared" si="10"/>
        <v>100</v>
      </c>
      <c r="T32" s="771" t="s">
        <v>17</v>
      </c>
      <c r="U32" s="772">
        <f t="shared" si="11"/>
        <v>100</v>
      </c>
      <c r="V32" s="771" t="s">
        <v>17</v>
      </c>
      <c r="W32" s="772">
        <f t="shared" si="12"/>
        <v>100</v>
      </c>
      <c r="X32" s="1810"/>
      <c r="Y32" s="3218" t="s">
        <v>2568</v>
      </c>
      <c r="Z32" s="1811">
        <f t="shared" si="13"/>
        <v>111</v>
      </c>
      <c r="AA32" s="1808">
        <f t="shared" si="3"/>
        <v>1</v>
      </c>
      <c r="AB32" s="1808">
        <f t="shared" si="4"/>
        <v>1</v>
      </c>
      <c r="AC32" s="1808">
        <f t="shared" si="5"/>
        <v>1</v>
      </c>
    </row>
    <row r="33" spans="1:29" s="469" customFormat="1" ht="15.75" thickBot="1">
      <c r="A33" s="674"/>
      <c r="B33" s="2707">
        <v>111</v>
      </c>
      <c r="C33" s="676"/>
      <c r="D33" s="134">
        <v>100</v>
      </c>
      <c r="E33" s="699"/>
      <c r="F33" s="436">
        <f>SUMIF(105:105,E33,106:106)-SUMIF(105:105,C33,106:106)+100</f>
        <v>100</v>
      </c>
      <c r="G33" s="699"/>
      <c r="H33" s="436">
        <f>SUMIF(105:105,G33,106:106)-SUMIF(105:105,C33,106:106)+100</f>
        <v>100</v>
      </c>
      <c r="I33" s="676"/>
      <c r="J33" s="436">
        <f>SUMIF(105:105,I33,106:106)-SUMIF(105:105,C33,106:106)+100</f>
        <v>100</v>
      </c>
      <c r="K33" s="611"/>
      <c r="L33" s="1136"/>
      <c r="M33" s="1139"/>
      <c r="N33" s="1139"/>
      <c r="O33" s="1140"/>
      <c r="P33" s="3218"/>
      <c r="Q33" s="1807">
        <f t="shared" si="8"/>
        <v>111</v>
      </c>
      <c r="R33" s="774" t="s">
        <v>17</v>
      </c>
      <c r="S33" s="775">
        <f t="shared" si="10"/>
        <v>100</v>
      </c>
      <c r="T33" s="774" t="s">
        <v>17</v>
      </c>
      <c r="U33" s="775">
        <f t="shared" si="11"/>
        <v>100</v>
      </c>
      <c r="V33" s="774" t="s">
        <v>17</v>
      </c>
      <c r="W33" s="775">
        <f t="shared" si="12"/>
        <v>100</v>
      </c>
      <c r="X33" s="776"/>
      <c r="Y33" s="3218"/>
      <c r="Z33" s="777">
        <f t="shared" si="13"/>
        <v>111</v>
      </c>
      <c r="AA33" s="1808">
        <f t="shared" si="3"/>
        <v>1</v>
      </c>
      <c r="AB33" s="1808">
        <f t="shared" si="4"/>
        <v>1</v>
      </c>
      <c r="AC33" s="1808">
        <f t="shared" si="5"/>
        <v>1</v>
      </c>
    </row>
    <row r="34" spans="1:29" ht="15">
      <c r="A34" s="438" t="s">
        <v>2566</v>
      </c>
      <c r="B34" s="454" t="s">
        <v>2754</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8"/>
      <c r="M34" s="1129"/>
      <c r="N34" s="1129"/>
      <c r="O34" s="1137"/>
      <c r="P34" s="3218"/>
      <c r="Q34" s="1807" t="str">
        <f>B34</f>
        <v>宗地面积</v>
      </c>
      <c r="R34" s="771" t="s">
        <v>17</v>
      </c>
      <c r="S34" s="772" t="e">
        <f t="shared" si="10"/>
        <v>#N/A</v>
      </c>
      <c r="T34" s="771" t="s">
        <v>17</v>
      </c>
      <c r="U34" s="772" t="e">
        <f t="shared" si="11"/>
        <v>#N/A</v>
      </c>
      <c r="V34" s="771" t="s">
        <v>17</v>
      </c>
      <c r="W34" s="772" t="e">
        <f t="shared" si="12"/>
        <v>#N/A</v>
      </c>
      <c r="X34" s="1810"/>
      <c r="Y34" s="3218"/>
      <c r="Z34" s="1811" t="str">
        <f t="shared" si="13"/>
        <v>宗地面积</v>
      </c>
      <c r="AA34" s="1808" t="e">
        <f t="shared" si="3"/>
        <v>#N/A</v>
      </c>
      <c r="AB34" s="1808" t="e">
        <f t="shared" si="4"/>
        <v>#N/A</v>
      </c>
      <c r="AC34" s="1808" t="e">
        <f t="shared" si="5"/>
        <v>#N/A</v>
      </c>
    </row>
    <row r="35" spans="1:29" ht="15">
      <c r="A35" s="470"/>
      <c r="B35" s="420" t="s">
        <v>2755</v>
      </c>
      <c r="C35" s="2607"/>
      <c r="D35" s="433">
        <v>100</v>
      </c>
      <c r="E35" s="2607"/>
      <c r="F35" s="433">
        <f>SUMIF(110:110,E35,111:111)-SUMIF(110:110,C35,111:111)+100</f>
        <v>100</v>
      </c>
      <c r="G35" s="2607"/>
      <c r="H35" s="433">
        <f>SUMIF(110:110,G35,111:111)-SUMIF(110:110,C35,111:111)+100</f>
        <v>100</v>
      </c>
      <c r="I35" s="2607"/>
      <c r="J35" s="433">
        <f>SUMIF(110:110,I35,111:111)-SUMIF(110:110,C35,111:111)+100</f>
        <v>100</v>
      </c>
      <c r="K35" s="610"/>
      <c r="L35" s="1138"/>
      <c r="M35" s="1129"/>
      <c r="N35" s="1129"/>
      <c r="O35" s="1137"/>
      <c r="P35" s="3218"/>
      <c r="Q35" s="1807" t="str">
        <f t="shared" ref="Q35:Q40" si="14">B35</f>
        <v>宗地形状</v>
      </c>
      <c r="R35" s="771" t="s">
        <v>17</v>
      </c>
      <c r="S35" s="772">
        <f t="shared" si="10"/>
        <v>100</v>
      </c>
      <c r="T35" s="771" t="s">
        <v>17</v>
      </c>
      <c r="U35" s="772">
        <f t="shared" si="11"/>
        <v>100</v>
      </c>
      <c r="V35" s="771" t="s">
        <v>17</v>
      </c>
      <c r="W35" s="772">
        <f t="shared" si="12"/>
        <v>100</v>
      </c>
      <c r="X35" s="1810"/>
      <c r="Y35" s="3218"/>
      <c r="Z35" s="1811" t="str">
        <f t="shared" si="13"/>
        <v>宗地形状</v>
      </c>
      <c r="AA35" s="1808">
        <f t="shared" si="3"/>
        <v>1</v>
      </c>
      <c r="AB35" s="1808">
        <f t="shared" si="4"/>
        <v>1</v>
      </c>
      <c r="AC35" s="1808">
        <f t="shared" si="5"/>
        <v>1</v>
      </c>
    </row>
    <row r="36" spans="1:29" s="115" customFormat="1" ht="15">
      <c r="A36" s="471"/>
      <c r="B36" s="420" t="s">
        <v>2757</v>
      </c>
      <c r="C36" s="2694"/>
      <c r="D36" s="133">
        <v>100</v>
      </c>
      <c r="E36" s="2694"/>
      <c r="F36" s="433">
        <f>SUMIF(112:112,E36,113:113)-SUMIF(112:112,C36,113:113)+100</f>
        <v>100</v>
      </c>
      <c r="G36" s="2694"/>
      <c r="H36" s="433">
        <f>SUMIF(112:112,G36,113:113)-SUMIF(112:112,C36,113:113)+100</f>
        <v>100</v>
      </c>
      <c r="I36" s="2694"/>
      <c r="J36" s="433">
        <f>SUMIF(112:112,I36,113:113)-SUMIF(112:112,C36,113:113)+100</f>
        <v>100</v>
      </c>
      <c r="K36" s="610"/>
      <c r="L36" s="1130"/>
      <c r="M36" s="1131"/>
      <c r="N36" s="1131"/>
      <c r="O36" s="1132"/>
      <c r="P36" s="3218"/>
      <c r="Q36" s="1807" t="str">
        <f t="shared" si="14"/>
        <v>宗地开发程度</v>
      </c>
      <c r="R36" s="767" t="s">
        <v>17</v>
      </c>
      <c r="S36" s="768">
        <f t="shared" si="10"/>
        <v>100</v>
      </c>
      <c r="T36" s="767" t="s">
        <v>17</v>
      </c>
      <c r="U36" s="768">
        <f t="shared" si="11"/>
        <v>100</v>
      </c>
      <c r="V36" s="767" t="s">
        <v>17</v>
      </c>
      <c r="W36" s="768">
        <f t="shared" si="12"/>
        <v>100</v>
      </c>
      <c r="X36" s="769"/>
      <c r="Y36" s="3218"/>
      <c r="Z36" s="54" t="str">
        <f t="shared" si="13"/>
        <v>宗地开发程度</v>
      </c>
      <c r="AA36" s="770">
        <f t="shared" si="3"/>
        <v>1</v>
      </c>
      <c r="AB36" s="770">
        <f t="shared" si="4"/>
        <v>1</v>
      </c>
      <c r="AC36" s="770">
        <f t="shared" si="5"/>
        <v>1</v>
      </c>
    </row>
    <row r="37" spans="1:29" ht="15">
      <c r="A37" s="470"/>
      <c r="B37" s="420" t="s">
        <v>2758</v>
      </c>
      <c r="C37" s="2607"/>
      <c r="D37" s="433">
        <v>100</v>
      </c>
      <c r="E37" s="2607"/>
      <c r="F37" s="433">
        <f>SUMIF(114:114,E37,115:115)-SUMIF(114:114,C37,115:115)+100</f>
        <v>100</v>
      </c>
      <c r="G37" s="2607"/>
      <c r="H37" s="433">
        <f>SUMIF(114:114,G37,115:115)-SUMIF(114:114,C37,115:115)+100</f>
        <v>100</v>
      </c>
      <c r="I37" s="2607"/>
      <c r="J37" s="433">
        <f>SUMIF(114:114,I37,115:115)-SUMIF(114:114,C37,115:115)+100</f>
        <v>100</v>
      </c>
      <c r="K37" s="610"/>
      <c r="L37" s="1138"/>
      <c r="M37" s="1129"/>
      <c r="N37" s="1129"/>
      <c r="O37" s="1137"/>
      <c r="P37" s="3218" t="s">
        <v>2568</v>
      </c>
      <c r="Q37" s="1807" t="str">
        <f t="shared" si="14"/>
        <v>工程地质条件</v>
      </c>
      <c r="R37" s="771" t="s">
        <v>17</v>
      </c>
      <c r="S37" s="772">
        <f t="shared" si="10"/>
        <v>100</v>
      </c>
      <c r="T37" s="771" t="s">
        <v>17</v>
      </c>
      <c r="U37" s="772">
        <f t="shared" si="11"/>
        <v>100</v>
      </c>
      <c r="V37" s="771" t="s">
        <v>17</v>
      </c>
      <c r="W37" s="772">
        <f t="shared" si="12"/>
        <v>100</v>
      </c>
      <c r="X37" s="1810"/>
      <c r="Y37" s="3218" t="s">
        <v>2568</v>
      </c>
      <c r="Z37" s="1811" t="str">
        <f t="shared" si="13"/>
        <v>工程地质条件</v>
      </c>
      <c r="AA37" s="1808">
        <f t="shared" si="3"/>
        <v>1</v>
      </c>
      <c r="AB37" s="1808">
        <f t="shared" si="4"/>
        <v>1</v>
      </c>
      <c r="AC37" s="1808">
        <f t="shared" si="5"/>
        <v>1</v>
      </c>
    </row>
    <row r="38" spans="1:29" ht="15">
      <c r="A38" s="470"/>
      <c r="B38" s="1385">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8"/>
      <c r="M38" s="1129"/>
      <c r="N38" s="1129"/>
      <c r="O38" s="1137"/>
      <c r="P38" s="3218"/>
      <c r="Q38" s="1807">
        <f t="shared" si="14"/>
        <v>111</v>
      </c>
      <c r="R38" s="771" t="s">
        <v>17</v>
      </c>
      <c r="S38" s="772">
        <f t="shared" si="10"/>
        <v>100</v>
      </c>
      <c r="T38" s="771" t="s">
        <v>17</v>
      </c>
      <c r="U38" s="772">
        <f t="shared" si="11"/>
        <v>100</v>
      </c>
      <c r="V38" s="771" t="s">
        <v>17</v>
      </c>
      <c r="W38" s="772">
        <f t="shared" si="12"/>
        <v>100</v>
      </c>
      <c r="X38" s="1810"/>
      <c r="Y38" s="3218"/>
      <c r="Z38" s="1811">
        <f t="shared" si="13"/>
        <v>111</v>
      </c>
      <c r="AA38" s="1808">
        <f t="shared" si="3"/>
        <v>1</v>
      </c>
      <c r="AB38" s="1808">
        <f t="shared" si="4"/>
        <v>1</v>
      </c>
      <c r="AC38" s="1808">
        <f t="shared" si="5"/>
        <v>1</v>
      </c>
    </row>
    <row r="39" spans="1:29" ht="15">
      <c r="A39" s="470"/>
      <c r="B39" s="1385">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8"/>
      <c r="M39" s="1129"/>
      <c r="N39" s="1129"/>
      <c r="O39" s="1137"/>
      <c r="P39" s="3218"/>
      <c r="Q39" s="1807">
        <f t="shared" si="14"/>
        <v>111</v>
      </c>
      <c r="R39" s="771" t="s">
        <v>17</v>
      </c>
      <c r="S39" s="772">
        <f t="shared" si="10"/>
        <v>100</v>
      </c>
      <c r="T39" s="771" t="s">
        <v>17</v>
      </c>
      <c r="U39" s="772">
        <f t="shared" si="11"/>
        <v>100</v>
      </c>
      <c r="V39" s="771" t="s">
        <v>17</v>
      </c>
      <c r="W39" s="772">
        <f t="shared" si="12"/>
        <v>100</v>
      </c>
      <c r="X39" s="1810"/>
      <c r="Y39" s="3218"/>
      <c r="Z39" s="1811">
        <f t="shared" si="13"/>
        <v>111</v>
      </c>
      <c r="AA39" s="1808">
        <f t="shared" si="3"/>
        <v>1</v>
      </c>
      <c r="AB39" s="1808">
        <f t="shared" si="4"/>
        <v>1</v>
      </c>
      <c r="AC39" s="1808">
        <f t="shared" si="5"/>
        <v>1</v>
      </c>
    </row>
    <row r="40" spans="1:29" s="469" customFormat="1" ht="15.75" thickBot="1">
      <c r="A40" s="466"/>
      <c r="B40" s="1385">
        <v>111</v>
      </c>
      <c r="C40" s="2695"/>
      <c r="D40" s="134">
        <v>100</v>
      </c>
      <c r="E40" s="672"/>
      <c r="F40" s="436">
        <f>SUMIF(120:120,E40,121:121)-SUMIF(120:120,C40,121:121)+100</f>
        <v>100</v>
      </c>
      <c r="G40" s="672"/>
      <c r="H40" s="436">
        <f>SUMIF(120:120,G40,121:121)-SUMIF(120:120,C40,121:121)+100</f>
        <v>100</v>
      </c>
      <c r="I40" s="547"/>
      <c r="J40" s="436">
        <f>SUMIF(120:120,I40,121:121)-SUMIF(120:120,C40,121:121)+100</f>
        <v>100</v>
      </c>
      <c r="K40" s="679"/>
      <c r="L40" s="1136"/>
      <c r="M40" s="1139"/>
      <c r="N40" s="1139"/>
      <c r="O40" s="1140"/>
      <c r="P40" s="3218"/>
      <c r="Q40" s="1807">
        <f t="shared" si="14"/>
        <v>111</v>
      </c>
      <c r="R40" s="774" t="s">
        <v>17</v>
      </c>
      <c r="S40" s="775">
        <f t="shared" si="10"/>
        <v>100</v>
      </c>
      <c r="T40" s="774" t="s">
        <v>17</v>
      </c>
      <c r="U40" s="775">
        <f t="shared" si="11"/>
        <v>100</v>
      </c>
      <c r="V40" s="774" t="s">
        <v>17</v>
      </c>
      <c r="W40" s="775">
        <f t="shared" si="12"/>
        <v>100</v>
      </c>
      <c r="X40" s="776"/>
      <c r="Y40" s="3218"/>
      <c r="Z40" s="777">
        <f t="shared" si="13"/>
        <v>111</v>
      </c>
      <c r="AA40" s="1808">
        <f t="shared" si="3"/>
        <v>1</v>
      </c>
      <c r="AB40" s="1808">
        <f t="shared" si="4"/>
        <v>1</v>
      </c>
      <c r="AC40" s="1808">
        <f t="shared" si="5"/>
        <v>1</v>
      </c>
    </row>
    <row r="41" spans="1:29" ht="15">
      <c r="A41" s="477" t="s">
        <v>2723</v>
      </c>
      <c r="B41" s="2696" t="s">
        <v>2803</v>
      </c>
      <c r="C41" s="680" t="s">
        <v>1</v>
      </c>
      <c r="D41" s="479"/>
      <c r="E41" s="480"/>
      <c r="F41" s="481"/>
      <c r="G41" s="482"/>
      <c r="H41" s="483"/>
      <c r="I41" s="480"/>
      <c r="J41" s="483"/>
      <c r="K41" s="780"/>
      <c r="L41" s="1141"/>
      <c r="M41" s="1129"/>
      <c r="N41" s="1129"/>
      <c r="O41" s="1142"/>
      <c r="P41" s="3200" t="str">
        <f>A41</f>
        <v>成交单价</v>
      </c>
      <c r="Q41" s="3200"/>
      <c r="R41" s="3213">
        <f>E41</f>
        <v>0</v>
      </c>
      <c r="S41" s="3213"/>
      <c r="T41" s="3213">
        <f>G41</f>
        <v>0</v>
      </c>
      <c r="U41" s="3213"/>
      <c r="V41" s="3213">
        <f>I41</f>
        <v>0</v>
      </c>
      <c r="W41" s="3213"/>
      <c r="X41" s="756"/>
      <c r="Y41" s="778"/>
      <c r="Z41" s="756"/>
      <c r="AA41" s="756"/>
      <c r="AB41" s="756"/>
      <c r="AC41" s="756"/>
    </row>
    <row r="42" spans="1:29" ht="15.75" thickBot="1">
      <c r="A42" s="484" t="s">
        <v>2672</v>
      </c>
      <c r="B42" s="681"/>
      <c r="C42" s="488" t="e">
        <f>R43</f>
        <v>#DIV/0!</v>
      </c>
      <c r="D42" s="487"/>
      <c r="E42" s="488" t="e">
        <f>R42</f>
        <v>#DIV/0!</v>
      </c>
      <c r="F42" s="489"/>
      <c r="G42" s="486" t="e">
        <f>T42</f>
        <v>#DIV/0!</v>
      </c>
      <c r="H42" s="487"/>
      <c r="I42" s="488" t="e">
        <f>V42</f>
        <v>#DIV/0!</v>
      </c>
      <c r="J42" s="487"/>
      <c r="K42" s="781"/>
      <c r="L42" s="1141"/>
      <c r="M42" s="1129"/>
      <c r="N42" s="1129"/>
      <c r="O42" s="1142"/>
      <c r="P42" s="3200" t="str">
        <f>A42</f>
        <v>比较价值（元/平方米）</v>
      </c>
      <c r="Q42" s="3200"/>
      <c r="R42" s="3219" t="e">
        <f>ROUND(PRODUCT(R41,AA7:AA40),0)</f>
        <v>#DIV/0!</v>
      </c>
      <c r="S42" s="3219"/>
      <c r="T42" s="3219" t="e">
        <f>ROUND(PRODUCT(T41,AB7:AB40),0)</f>
        <v>#DIV/0!</v>
      </c>
      <c r="U42" s="3219"/>
      <c r="V42" s="3219" t="e">
        <f>ROUND(PRODUCT(V41,AC7:AC40),0)</f>
        <v>#DIV/0!</v>
      </c>
      <c r="W42" s="3219"/>
      <c r="X42" s="756"/>
      <c r="Y42" s="756"/>
      <c r="Z42" s="756"/>
      <c r="AA42" s="756"/>
      <c r="AB42" s="756"/>
      <c r="AC42" s="756"/>
    </row>
    <row r="43" spans="1:29" ht="15.75" thickBot="1">
      <c r="A43" s="490" t="s">
        <v>2673</v>
      </c>
      <c r="B43" s="491"/>
      <c r="C43" s="492" t="e">
        <f>R43</f>
        <v>#DIV/0!</v>
      </c>
      <c r="D43" s="492"/>
      <c r="E43" s="492"/>
      <c r="F43" s="492"/>
      <c r="G43" s="492"/>
      <c r="H43" s="492"/>
      <c r="I43" s="492"/>
      <c r="J43" s="492"/>
      <c r="K43" s="782"/>
      <c r="L43" s="1141"/>
      <c r="M43" s="1129"/>
      <c r="N43" s="1129"/>
      <c r="O43" s="1142"/>
      <c r="P43" s="3220" t="str">
        <f>A43</f>
        <v>估价对象XX用房的比较价值（楼面单价，元/平方米）</v>
      </c>
      <c r="Q43" s="3221"/>
      <c r="R43" s="3222" t="e">
        <f>ROUND(AVERAGE(R42:V42),0)</f>
        <v>#DIV/0!</v>
      </c>
      <c r="S43" s="3222"/>
      <c r="T43" s="3222"/>
      <c r="U43" s="3222"/>
      <c r="V43" s="3222"/>
      <c r="W43" s="3222"/>
      <c r="X43" s="756"/>
      <c r="Y43" s="756"/>
      <c r="Z43" s="756"/>
      <c r="AA43" s="756"/>
      <c r="AB43" s="756"/>
      <c r="AC43" s="756"/>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5" t="s">
        <v>2674</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3"/>
      <c r="L46" s="1104"/>
      <c r="M46" s="1129"/>
      <c r="N46" s="1129"/>
      <c r="O46" s="1142"/>
    </row>
    <row r="47" spans="1:29" ht="13.5" customHeight="1">
      <c r="A47" s="1142"/>
      <c r="B47" s="1142"/>
      <c r="C47" s="495" t="s">
        <v>2675</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3"/>
      <c r="L47" s="1104"/>
      <c r="M47" s="1142"/>
      <c r="N47" s="1142"/>
      <c r="O47" s="1142"/>
    </row>
    <row r="48" spans="1:29" s="500" customFormat="1" ht="13.5" customHeight="1">
      <c r="A48" s="1143"/>
      <c r="B48" s="1143"/>
      <c r="C48" s="495" t="s">
        <v>2676</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6"/>
      <c r="L48" s="1147"/>
      <c r="M48" s="1143"/>
      <c r="N48" s="1143"/>
      <c r="O48" s="1143"/>
    </row>
    <row r="49" spans="1:17" s="500" customFormat="1" ht="15" thickBot="1">
      <c r="A49" s="1143"/>
      <c r="B49" s="1144"/>
      <c r="C49" s="759"/>
      <c r="D49" s="757"/>
      <c r="E49" s="757"/>
      <c r="F49" s="757"/>
      <c r="G49" s="757"/>
      <c r="H49" s="757"/>
      <c r="I49" s="757"/>
      <c r="J49" s="757"/>
      <c r="K49" s="1146"/>
      <c r="L49" s="1147"/>
      <c r="M49" s="1143"/>
      <c r="N49" s="1143"/>
      <c r="O49" s="1143"/>
    </row>
    <row r="50" spans="1:17" ht="27">
      <c r="A50" s="682" t="s">
        <v>2761</v>
      </c>
      <c r="B50" s="683" t="s">
        <v>2762</v>
      </c>
      <c r="C50" s="2697" t="s">
        <v>2763</v>
      </c>
      <c r="D50" s="2698" t="s">
        <v>2764</v>
      </c>
      <c r="E50" s="684" t="s">
        <v>2765</v>
      </c>
      <c r="F50" s="685" t="s">
        <v>2766</v>
      </c>
      <c r="G50" s="3201" t="s">
        <v>2767</v>
      </c>
      <c r="H50" s="3223"/>
      <c r="I50" s="1811" t="s">
        <v>2804</v>
      </c>
      <c r="J50" s="1811" t="str">
        <f>项目基本情况!F35</f>
        <v>山东省济南市</v>
      </c>
      <c r="K50" s="2700" t="s">
        <v>2769</v>
      </c>
      <c r="L50" s="1104"/>
      <c r="M50" s="1142"/>
      <c r="N50" s="1142"/>
      <c r="O50" s="1142"/>
    </row>
    <row r="51" spans="1:17" s="690" customFormat="1">
      <c r="A51" s="686" t="s">
        <v>2770</v>
      </c>
      <c r="B51" s="687" t="e">
        <f>C43</f>
        <v>#DIV/0!</v>
      </c>
      <c r="C51" s="688">
        <v>1</v>
      </c>
      <c r="D51" s="1161">
        <v>1</v>
      </c>
      <c r="E51" s="688">
        <f>'数据-汇总表'!E8+'数据-汇总表'!E9</f>
        <v>54277.58</v>
      </c>
      <c r="F51" s="689" t="e">
        <f t="shared" ref="F51:F60" si="15">ROUND(B51*E51/10000,0)</f>
        <v>#DIV/0!</v>
      </c>
      <c r="G51" s="3224"/>
      <c r="H51" s="3200"/>
      <c r="I51" s="940">
        <v>1</v>
      </c>
      <c r="J51" s="940">
        <v>1</v>
      </c>
      <c r="K51" s="1143"/>
      <c r="L51" s="939"/>
      <c r="M51" s="939"/>
      <c r="N51" s="939"/>
      <c r="O51" s="939"/>
    </row>
    <row r="52" spans="1:17" s="690" customFormat="1">
      <c r="A52" s="691" t="s">
        <v>2771</v>
      </c>
      <c r="B52" s="260" t="e">
        <f>ROUND($C$43*C52*D52,0)</f>
        <v>#DIV/0!</v>
      </c>
      <c r="C52" s="198">
        <f t="shared" ref="C52:C60" si="16">IF($C$50="北京市系数",I52,J52)</f>
        <v>0</v>
      </c>
      <c r="D52" s="1162">
        <v>0.25</v>
      </c>
      <c r="E52" s="692"/>
      <c r="F52" s="689" t="e">
        <f t="shared" si="15"/>
        <v>#DIV/0!</v>
      </c>
      <c r="G52" s="3225" t="s">
        <v>2772</v>
      </c>
      <c r="H52" s="1102">
        <f>项目基本情况!B37</f>
        <v>0</v>
      </c>
      <c r="I52" s="940">
        <f>SUMIF(修正!A45:A56,H52,修正!B45:B56)</f>
        <v>0</v>
      </c>
      <c r="J52" s="941"/>
      <c r="K52" s="1142"/>
      <c r="L52" s="939"/>
      <c r="M52" s="939"/>
      <c r="N52" s="939"/>
      <c r="O52" s="939"/>
    </row>
    <row r="53" spans="1:17" s="690" customFormat="1">
      <c r="A53" s="691" t="s">
        <v>2773</v>
      </c>
      <c r="B53" s="260" t="e">
        <f t="shared" ref="B53:B60" si="17">ROUND($C$43*C53*D53,0)</f>
        <v>#DIV/0!</v>
      </c>
      <c r="C53" s="198">
        <f t="shared" si="16"/>
        <v>0</v>
      </c>
      <c r="D53" s="1162">
        <v>0.25</v>
      </c>
      <c r="E53" s="692"/>
      <c r="F53" s="689" t="e">
        <f t="shared" si="15"/>
        <v>#DIV/0!</v>
      </c>
      <c r="G53" s="3225"/>
      <c r="H53" s="1102">
        <f>项目基本情况!B37</f>
        <v>0</v>
      </c>
      <c r="I53" s="940">
        <f>SUMIF(修正!A45:A56,H53,修正!C45:C56)</f>
        <v>0</v>
      </c>
      <c r="J53" s="941"/>
      <c r="K53" s="1143"/>
      <c r="L53" s="939"/>
      <c r="M53" s="939"/>
      <c r="N53" s="939"/>
      <c r="O53" s="939"/>
    </row>
    <row r="54" spans="1:17" s="690" customFormat="1">
      <c r="A54" s="691" t="s">
        <v>2774</v>
      </c>
      <c r="B54" s="260" t="e">
        <f t="shared" si="17"/>
        <v>#DIV/0!</v>
      </c>
      <c r="C54" s="198">
        <f t="shared" si="16"/>
        <v>0</v>
      </c>
      <c r="D54" s="1162">
        <v>0.25</v>
      </c>
      <c r="E54" s="692"/>
      <c r="F54" s="689" t="e">
        <f t="shared" si="15"/>
        <v>#DIV/0!</v>
      </c>
      <c r="G54" s="3225"/>
      <c r="H54" s="1102">
        <f>项目基本情况!B37</f>
        <v>0</v>
      </c>
      <c r="I54" s="940">
        <f>SUMIF(修正!A45:A56,H54,修正!D45:D56)</f>
        <v>0</v>
      </c>
      <c r="J54" s="941"/>
      <c r="K54" s="1142"/>
      <c r="L54" s="939"/>
      <c r="M54" s="939"/>
      <c r="N54" s="939"/>
      <c r="O54" s="939"/>
    </row>
    <row r="55" spans="1:17" s="690" customFormat="1">
      <c r="A55" s="691" t="s">
        <v>2775</v>
      </c>
      <c r="B55" s="260" t="e">
        <f t="shared" si="17"/>
        <v>#DIV/0!</v>
      </c>
      <c r="C55" s="198">
        <f t="shared" si="16"/>
        <v>0</v>
      </c>
      <c r="D55" s="1162">
        <v>0.25</v>
      </c>
      <c r="E55" s="692"/>
      <c r="F55" s="689" t="e">
        <f t="shared" si="15"/>
        <v>#DIV/0!</v>
      </c>
      <c r="G55" s="3225"/>
      <c r="H55" s="1102">
        <f>项目基本情况!B37</f>
        <v>0</v>
      </c>
      <c r="I55" s="940">
        <f>SUMIF(修正!A45:A56,H55,修正!E45:E56)</f>
        <v>0</v>
      </c>
      <c r="J55" s="941"/>
      <c r="K55" s="1143"/>
      <c r="L55" s="939"/>
      <c r="M55" s="939"/>
      <c r="N55" s="939"/>
      <c r="O55" s="939"/>
    </row>
    <row r="56" spans="1:17" s="690" customFormat="1">
      <c r="A56" s="691" t="s">
        <v>2776</v>
      </c>
      <c r="B56" s="260" t="e">
        <f t="shared" si="17"/>
        <v>#DIV/0!</v>
      </c>
      <c r="C56" s="198">
        <f t="shared" si="16"/>
        <v>0</v>
      </c>
      <c r="D56" s="1162">
        <v>0.25</v>
      </c>
      <c r="E56" s="259">
        <f>'数据-汇总表'!E11</f>
        <v>121.22</v>
      </c>
      <c r="F56" s="689" t="e">
        <f t="shared" si="15"/>
        <v>#DIV/0!</v>
      </c>
      <c r="G56" s="2701" t="s">
        <v>2777</v>
      </c>
      <c r="H56" s="1102">
        <f>项目基本情况!C37</f>
        <v>0</v>
      </c>
      <c r="I56" s="940">
        <f>SUMIF(修正!A45:A56,H56,修正!F45:F56)</f>
        <v>0</v>
      </c>
      <c r="J56" s="941"/>
      <c r="K56" s="1142"/>
      <c r="L56" s="939"/>
      <c r="M56" s="939"/>
      <c r="N56" s="939"/>
      <c r="O56" s="939"/>
    </row>
    <row r="57" spans="1:17" s="690" customFormat="1">
      <c r="A57" s="691" t="s">
        <v>2778</v>
      </c>
      <c r="B57" s="260" t="e">
        <f t="shared" si="17"/>
        <v>#DIV/0!</v>
      </c>
      <c r="C57" s="198">
        <f t="shared" si="16"/>
        <v>0</v>
      </c>
      <c r="D57" s="1162">
        <v>0.25</v>
      </c>
      <c r="E57" s="259">
        <f>'数据-汇总表'!E12</f>
        <v>0</v>
      </c>
      <c r="F57" s="689" t="e">
        <f t="shared" si="15"/>
        <v>#DIV/0!</v>
      </c>
      <c r="G57" s="1107" t="s">
        <v>2779</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0" customFormat="1">
      <c r="A58" s="691" t="s">
        <v>2780</v>
      </c>
      <c r="B58" s="260" t="e">
        <f t="shared" si="17"/>
        <v>#DIV/0!</v>
      </c>
      <c r="C58" s="198">
        <f t="shared" si="16"/>
        <v>0</v>
      </c>
      <c r="D58" s="1162">
        <v>0.25</v>
      </c>
      <c r="E58" s="259">
        <f>'数据-汇总表'!E13</f>
        <v>10484.65</v>
      </c>
      <c r="F58" s="689" t="e">
        <f t="shared" si="15"/>
        <v>#DIV/0!</v>
      </c>
      <c r="G58" s="1107" t="s">
        <v>2781</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0" customFormat="1">
      <c r="A59" s="691" t="s">
        <v>2782</v>
      </c>
      <c r="B59" s="260" t="e">
        <f t="shared" si="17"/>
        <v>#DIV/0!</v>
      </c>
      <c r="C59" s="198">
        <f t="shared" si="16"/>
        <v>0</v>
      </c>
      <c r="D59" s="1162">
        <v>0.25</v>
      </c>
      <c r="E59" s="259">
        <f>'数据-汇总表'!E14</f>
        <v>0</v>
      </c>
      <c r="F59" s="689" t="e">
        <f t="shared" si="15"/>
        <v>#DIV/0!</v>
      </c>
      <c r="G59" s="2701" t="s">
        <v>2772</v>
      </c>
      <c r="H59" s="1102">
        <f>项目基本情况!B37</f>
        <v>0</v>
      </c>
      <c r="I59" s="940">
        <f>SUMIF(修正!A45:A56,H59,修正!H45:H56)</f>
        <v>0</v>
      </c>
      <c r="J59" s="941"/>
      <c r="K59" s="1143"/>
      <c r="L59" s="939"/>
      <c r="M59" s="939"/>
      <c r="N59" s="939"/>
      <c r="O59" s="939"/>
    </row>
    <row r="60" spans="1:17" s="690" customFormat="1" ht="15" thickBot="1">
      <c r="A60" s="691" t="s">
        <v>2783</v>
      </c>
      <c r="B60" s="260" t="e">
        <f t="shared" si="17"/>
        <v>#DIV/0!</v>
      </c>
      <c r="C60" s="198">
        <f t="shared" si="16"/>
        <v>0</v>
      </c>
      <c r="D60" s="1162">
        <v>0.25</v>
      </c>
      <c r="E60" s="259">
        <f>'数据-汇总表'!E15</f>
        <v>0</v>
      </c>
      <c r="F60" s="689" t="e">
        <f t="shared" si="15"/>
        <v>#DIV/0!</v>
      </c>
      <c r="G60" s="2702" t="s">
        <v>2777</v>
      </c>
      <c r="H60" s="1112">
        <f>项目基本情况!C37</f>
        <v>0</v>
      </c>
      <c r="I60" s="940">
        <f>SUMIF(修正!A45:A56,H60,修正!H45:H56)</f>
        <v>0</v>
      </c>
      <c r="J60" s="941"/>
      <c r="K60" s="1142"/>
      <c r="L60" s="939"/>
      <c r="M60" s="939"/>
      <c r="N60" s="939"/>
      <c r="O60" s="939"/>
    </row>
    <row r="61" spans="1:17" s="690" customFormat="1" ht="15" thickBot="1">
      <c r="A61" s="693" t="s">
        <v>2784</v>
      </c>
      <c r="B61" s="694" t="s">
        <v>28</v>
      </c>
      <c r="C61" s="694" t="s">
        <v>29</v>
      </c>
      <c r="D61" s="694" t="s">
        <v>1029</v>
      </c>
      <c r="E61" s="694">
        <f>IF(B41="楼面地价",SUM(E51:E60),'数据-汇总表'!D3)</f>
        <v>21196.98</v>
      </c>
      <c r="F61" s="695"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8" t="str">
        <f>YEAR(C7)&amp;"-"&amp;MONTH(C7)&amp;"-1"</f>
        <v>2017-11-1</v>
      </c>
      <c r="D63" s="758">
        <f>EDATE(C63,-3)</f>
        <v>42948</v>
      </c>
      <c r="E63" s="758">
        <f>EDATE(D63,-3)</f>
        <v>42856</v>
      </c>
      <c r="F63" s="758">
        <f t="shared" ref="F63:O63" si="18">EDATE(E63,-3)</f>
        <v>42767</v>
      </c>
      <c r="G63" s="758">
        <f t="shared" si="18"/>
        <v>42675</v>
      </c>
      <c r="H63" s="758">
        <f t="shared" si="18"/>
        <v>42583</v>
      </c>
      <c r="I63" s="758">
        <f t="shared" si="18"/>
        <v>42491</v>
      </c>
      <c r="J63" s="758">
        <f t="shared" si="18"/>
        <v>42401</v>
      </c>
      <c r="K63" s="758">
        <f t="shared" si="18"/>
        <v>42309</v>
      </c>
      <c r="L63" s="758">
        <f t="shared" si="18"/>
        <v>42217</v>
      </c>
      <c r="M63" s="758">
        <f t="shared" si="18"/>
        <v>42125</v>
      </c>
      <c r="N63" s="758">
        <f t="shared" si="18"/>
        <v>42036</v>
      </c>
      <c r="O63" s="758">
        <f t="shared" si="18"/>
        <v>41944</v>
      </c>
    </row>
    <row r="64" spans="1:17" ht="21.75" thickBot="1">
      <c r="A64" s="760" t="s">
        <v>2677</v>
      </c>
      <c r="B64" s="756"/>
      <c r="C64" s="761"/>
      <c r="D64" s="761"/>
      <c r="E64" s="761"/>
      <c r="F64" s="762"/>
      <c r="G64" s="762"/>
      <c r="H64" s="761"/>
      <c r="I64" s="761"/>
      <c r="J64" s="761"/>
      <c r="K64" s="763"/>
      <c r="L64" s="764"/>
      <c r="M64" s="761"/>
      <c r="N64" s="761"/>
      <c r="O64" s="1157"/>
      <c r="P64" s="501"/>
      <c r="Q64" s="502"/>
    </row>
    <row r="65" spans="1:17" s="506" customFormat="1" ht="15">
      <c r="A65" s="2703" t="s">
        <v>2785</v>
      </c>
      <c r="B65" s="1357"/>
      <c r="C65" s="1570" t="str">
        <f>YEAR(C63)&amp;"-"&amp;ROUNDUP(MONTH(C63)/3,0)</f>
        <v>2017-4</v>
      </c>
      <c r="D65" s="1570" t="str">
        <f t="shared" ref="D65:O65" si="19">YEAR(D63)&amp;"-"&amp;ROUNDUP(MONTH(D63)/3,0)</f>
        <v>2017-3</v>
      </c>
      <c r="E65" s="1570" t="str">
        <f t="shared" si="19"/>
        <v>2017-2</v>
      </c>
      <c r="F65" s="1570" t="str">
        <f t="shared" si="19"/>
        <v>2017-1</v>
      </c>
      <c r="G65" s="1570" t="str">
        <f t="shared" si="19"/>
        <v>2016-4</v>
      </c>
      <c r="H65" s="1570" t="str">
        <f t="shared" si="19"/>
        <v>2016-3</v>
      </c>
      <c r="I65" s="1570" t="str">
        <f t="shared" si="19"/>
        <v>2016-2</v>
      </c>
      <c r="J65" s="1570" t="str">
        <f t="shared" si="19"/>
        <v>2016-1</v>
      </c>
      <c r="K65" s="1570" t="str">
        <f t="shared" si="19"/>
        <v>2015-4</v>
      </c>
      <c r="L65" s="1570" t="str">
        <f t="shared" si="19"/>
        <v>2015-3</v>
      </c>
      <c r="M65" s="1570" t="str">
        <f t="shared" si="19"/>
        <v>2015-2</v>
      </c>
      <c r="N65" s="1570" t="str">
        <f t="shared" si="19"/>
        <v>2015-1</v>
      </c>
      <c r="O65" s="1570" t="str">
        <f t="shared" si="19"/>
        <v>2014-4</v>
      </c>
      <c r="P65" s="505"/>
    </row>
    <row r="66" spans="1:17" s="115" customFormat="1" ht="30.75" customHeight="1">
      <c r="A66" s="2708" t="s">
        <v>2805</v>
      </c>
      <c r="B66" s="330" t="str">
        <f>"北京市平均增长率"&amp;TEXT(基准地价修正!P24,"0.00%")</f>
        <v>北京市平均增长率1.39%</v>
      </c>
      <c r="C66" s="601">
        <v>100</v>
      </c>
      <c r="D66" s="593"/>
      <c r="E66" s="593"/>
      <c r="F66" s="593"/>
      <c r="G66" s="593"/>
      <c r="H66" s="593"/>
      <c r="I66" s="593"/>
      <c r="J66" s="593"/>
      <c r="K66" s="593"/>
      <c r="L66" s="593"/>
      <c r="M66" s="1565"/>
      <c r="N66" s="1565"/>
      <c r="O66" s="1567"/>
      <c r="P66" s="502"/>
    </row>
    <row r="67" spans="1:17" s="115" customFormat="1" ht="15.75" thickBot="1">
      <c r="A67" s="513" t="s">
        <v>2588</v>
      </c>
      <c r="B67" s="514"/>
      <c r="C67" s="515"/>
      <c r="D67" s="516"/>
      <c r="E67" s="516"/>
      <c r="F67" s="516"/>
      <c r="G67" s="516"/>
      <c r="H67" s="516"/>
      <c r="I67" s="516"/>
      <c r="J67" s="516"/>
      <c r="K67" s="516"/>
      <c r="L67" s="516"/>
      <c r="M67" s="517"/>
      <c r="N67" s="517"/>
      <c r="O67" s="518"/>
      <c r="P67" s="502"/>
      <c r="Q67" s="502"/>
    </row>
    <row r="68" spans="1:17" s="115" customFormat="1" ht="15">
      <c r="A68" s="519" t="s">
        <v>2553</v>
      </c>
      <c r="B68" s="508"/>
      <c r="C68" s="520" t="s">
        <v>2655</v>
      </c>
      <c r="D68" s="521"/>
      <c r="E68" s="521"/>
      <c r="F68" s="521"/>
      <c r="G68" s="521"/>
      <c r="H68" s="521"/>
      <c r="I68" s="521"/>
      <c r="J68" s="521"/>
      <c r="K68" s="521"/>
      <c r="L68" s="522"/>
      <c r="M68" s="523"/>
      <c r="N68" s="1149"/>
      <c r="O68" s="1149"/>
      <c r="P68" s="524"/>
      <c r="Q68" s="502"/>
    </row>
    <row r="69" spans="1:17" s="115" customFormat="1" ht="15.75" thickBot="1">
      <c r="A69" s="519"/>
      <c r="B69" s="508"/>
      <c r="C69" s="637">
        <v>100</v>
      </c>
      <c r="D69" s="510"/>
      <c r="E69" s="510"/>
      <c r="F69" s="510"/>
      <c r="G69" s="510"/>
      <c r="H69" s="510"/>
      <c r="I69" s="510"/>
      <c r="J69" s="510"/>
      <c r="K69" s="510"/>
      <c r="L69" s="510"/>
      <c r="M69" s="512"/>
      <c r="N69" s="1149"/>
      <c r="O69" s="1149"/>
      <c r="P69" s="502"/>
      <c r="Q69" s="502"/>
    </row>
    <row r="70" spans="1:17">
      <c r="A70" s="525" t="s">
        <v>2591</v>
      </c>
      <c r="B70" s="526" t="s">
        <v>2557</v>
      </c>
      <c r="C70" s="528"/>
      <c r="D70" s="528"/>
      <c r="E70" s="528"/>
      <c r="F70" s="528"/>
      <c r="G70" s="528"/>
      <c r="H70" s="528"/>
      <c r="I70" s="528"/>
      <c r="J70" s="528"/>
      <c r="K70" s="529"/>
      <c r="L70" s="530"/>
      <c r="M70" s="531"/>
      <c r="N70" s="1150"/>
      <c r="O70" s="1150"/>
      <c r="P70" s="45"/>
      <c r="Q70" s="502"/>
    </row>
    <row r="71" spans="1:17" ht="15.75" thickBot="1">
      <c r="A71" s="532"/>
      <c r="B71" s="533"/>
      <c r="C71" s="534"/>
      <c r="D71" s="534"/>
      <c r="E71" s="534"/>
      <c r="F71" s="534"/>
      <c r="G71" s="534"/>
      <c r="H71" s="534"/>
      <c r="I71" s="534"/>
      <c r="J71" s="534"/>
      <c r="K71" s="534"/>
      <c r="L71" s="534"/>
      <c r="M71" s="535"/>
      <c r="N71" s="1151"/>
      <c r="O71" s="1151"/>
      <c r="P71" s="45"/>
      <c r="Q71" s="502"/>
    </row>
    <row r="72" spans="1:17" ht="27.75" thickTop="1">
      <c r="A72" s="532"/>
      <c r="B72" s="536" t="s">
        <v>2560</v>
      </c>
      <c r="C72" s="537"/>
      <c r="D72" s="537"/>
      <c r="E72" s="537"/>
      <c r="F72" s="537"/>
      <c r="G72" s="537"/>
      <c r="H72" s="537"/>
      <c r="I72" s="537"/>
      <c r="J72" s="537"/>
      <c r="K72" s="538"/>
      <c r="L72" s="539"/>
      <c r="M72" s="540"/>
      <c r="N72" s="1150"/>
      <c r="O72" s="1150"/>
      <c r="P72" s="45"/>
      <c r="Q72" s="502"/>
    </row>
    <row r="73" spans="1:17" ht="15.75" thickBot="1">
      <c r="A73" s="532"/>
      <c r="B73" s="541"/>
      <c r="C73" s="542"/>
      <c r="D73" s="542"/>
      <c r="E73" s="542"/>
      <c r="F73" s="542"/>
      <c r="G73" s="542"/>
      <c r="H73" s="542"/>
      <c r="I73" s="542"/>
      <c r="J73" s="542"/>
      <c r="K73" s="542"/>
      <c r="L73" s="542"/>
      <c r="M73" s="543"/>
      <c r="N73" s="1151"/>
      <c r="O73" s="1151"/>
      <c r="P73" s="45"/>
      <c r="Q73" s="502"/>
    </row>
    <row r="74" spans="1:17" ht="15.75" thickTop="1">
      <c r="A74" s="532"/>
      <c r="B74" s="544" t="s">
        <v>2561</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1"/>
      <c r="O74" s="1151"/>
      <c r="P74" s="45"/>
      <c r="Q74" s="502"/>
    </row>
    <row r="75" spans="1:17" ht="15">
      <c r="A75" s="532"/>
      <c r="B75" s="546"/>
      <c r="C75" s="547"/>
      <c r="D75" s="547"/>
      <c r="E75" s="547"/>
      <c r="F75" s="547"/>
      <c r="G75" s="547"/>
      <c r="H75" s="547"/>
      <c r="I75" s="547"/>
      <c r="J75" s="547"/>
      <c r="K75" s="548"/>
      <c r="L75" s="549"/>
      <c r="M75" s="550"/>
      <c r="N75" s="1150"/>
      <c r="O75" s="1150"/>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1"/>
      <c r="O76" s="1151"/>
      <c r="P76" s="45"/>
      <c r="Q76" s="502"/>
    </row>
    <row r="77" spans="1:17" s="469" customFormat="1" ht="15.75" thickTop="1">
      <c r="A77" s="551"/>
      <c r="B77" s="536">
        <f>B12</f>
        <v>111</v>
      </c>
      <c r="C77" s="552"/>
      <c r="D77" s="552"/>
      <c r="E77" s="552"/>
      <c r="F77" s="552"/>
      <c r="G77" s="552"/>
      <c r="H77" s="553"/>
      <c r="I77" s="553"/>
      <c r="J77" s="553"/>
      <c r="K77" s="553"/>
      <c r="L77" s="554"/>
      <c r="M77" s="555"/>
      <c r="N77" s="1152"/>
      <c r="O77" s="1152"/>
      <c r="P77" s="556"/>
      <c r="Q77" s="557"/>
    </row>
    <row r="78" spans="1:17" s="469" customFormat="1" ht="15.75" thickBot="1">
      <c r="A78" s="551"/>
      <c r="B78" s="541"/>
      <c r="C78" s="558"/>
      <c r="D78" s="534"/>
      <c r="E78" s="534"/>
      <c r="F78" s="534"/>
      <c r="G78" s="534"/>
      <c r="H78" s="534"/>
      <c r="I78" s="534"/>
      <c r="J78" s="534"/>
      <c r="K78" s="534"/>
      <c r="L78" s="534"/>
      <c r="M78" s="535"/>
      <c r="N78" s="1151"/>
      <c r="O78" s="1151"/>
      <c r="P78" s="556"/>
      <c r="Q78" s="557"/>
    </row>
    <row r="79" spans="1:17" s="469" customFormat="1" ht="15.75" thickTop="1">
      <c r="A79" s="551"/>
      <c r="B79" s="536">
        <f>B13</f>
        <v>111</v>
      </c>
      <c r="C79" s="552"/>
      <c r="D79" s="552"/>
      <c r="E79" s="552"/>
      <c r="F79" s="552"/>
      <c r="G79" s="552"/>
      <c r="H79" s="553"/>
      <c r="I79" s="553"/>
      <c r="J79" s="553"/>
      <c r="K79" s="553"/>
      <c r="L79" s="554"/>
      <c r="M79" s="555"/>
      <c r="N79" s="1152"/>
      <c r="O79" s="1152"/>
      <c r="P79" s="468"/>
      <c r="Q79" s="559"/>
    </row>
    <row r="80" spans="1:17" s="469" customFormat="1" ht="15.75" thickBot="1">
      <c r="A80" s="551"/>
      <c r="B80" s="541"/>
      <c r="C80" s="558"/>
      <c r="D80" s="558"/>
      <c r="E80" s="558"/>
      <c r="F80" s="558"/>
      <c r="G80" s="558"/>
      <c r="H80" s="560"/>
      <c r="I80" s="560"/>
      <c r="J80" s="560"/>
      <c r="K80" s="560"/>
      <c r="L80" s="560"/>
      <c r="M80" s="561"/>
      <c r="N80" s="1152"/>
      <c r="O80" s="1152"/>
      <c r="P80" s="556"/>
      <c r="Q80" s="557"/>
    </row>
    <row r="81" spans="1:17" s="469" customFormat="1" ht="15.75" thickTop="1">
      <c r="A81" s="551"/>
      <c r="B81" s="544">
        <f>B14</f>
        <v>111</v>
      </c>
      <c r="C81" s="521"/>
      <c r="D81" s="521"/>
      <c r="E81" s="521"/>
      <c r="F81" s="521"/>
      <c r="G81" s="521"/>
      <c r="H81" s="562"/>
      <c r="I81" s="562"/>
      <c r="J81" s="562"/>
      <c r="K81" s="562"/>
      <c r="L81" s="563"/>
      <c r="M81" s="564"/>
      <c r="N81" s="1152"/>
      <c r="O81" s="1152"/>
      <c r="P81" s="565"/>
      <c r="Q81" s="557"/>
    </row>
    <row r="82" spans="1:17" s="469" customFormat="1" ht="15.75" thickBot="1">
      <c r="A82" s="566"/>
      <c r="B82" s="567"/>
      <c r="C82" s="568"/>
      <c r="D82" s="568"/>
      <c r="E82" s="568"/>
      <c r="F82" s="568"/>
      <c r="G82" s="568"/>
      <c r="H82" s="569"/>
      <c r="I82" s="569"/>
      <c r="J82" s="569"/>
      <c r="K82" s="569"/>
      <c r="L82" s="569"/>
      <c r="M82" s="570"/>
      <c r="N82" s="1152"/>
      <c r="O82" s="1152"/>
      <c r="P82" s="556"/>
      <c r="Q82" s="557"/>
    </row>
    <row r="83" spans="1:17">
      <c r="A83" s="525" t="s">
        <v>2562</v>
      </c>
      <c r="B83" s="526" t="s">
        <v>2708</v>
      </c>
      <c r="C83" s="571" t="s">
        <v>2600</v>
      </c>
      <c r="D83" s="571" t="s">
        <v>2601</v>
      </c>
      <c r="E83" s="571" t="s">
        <v>2602</v>
      </c>
      <c r="F83" s="571" t="s">
        <v>2603</v>
      </c>
      <c r="G83" s="571" t="s">
        <v>2604</v>
      </c>
      <c r="H83" s="527"/>
      <c r="I83" s="527"/>
      <c r="J83" s="527"/>
      <c r="K83" s="572"/>
      <c r="L83" s="573"/>
      <c r="M83" s="574"/>
      <c r="N83" s="1150"/>
      <c r="O83" s="1150"/>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1"/>
      <c r="O84" s="1151"/>
      <c r="P84" s="45"/>
      <c r="Q84" s="502"/>
    </row>
    <row r="85" spans="1:17" ht="15.75" thickTop="1">
      <c r="A85" s="532"/>
      <c r="B85" s="536" t="s">
        <v>2605</v>
      </c>
      <c r="C85" s="576" t="s">
        <v>2600</v>
      </c>
      <c r="D85" s="576" t="s">
        <v>2601</v>
      </c>
      <c r="E85" s="576" t="s">
        <v>2602</v>
      </c>
      <c r="F85" s="576" t="s">
        <v>2603</v>
      </c>
      <c r="G85" s="576" t="s">
        <v>2604</v>
      </c>
      <c r="H85" s="537"/>
      <c r="I85" s="537"/>
      <c r="J85" s="537"/>
      <c r="K85" s="538"/>
      <c r="L85" s="539"/>
      <c r="M85" s="540"/>
      <c r="N85" s="1150"/>
      <c r="O85" s="1150"/>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1"/>
      <c r="O86" s="1151"/>
      <c r="P86" s="45"/>
      <c r="Q86" s="502"/>
    </row>
    <row r="87" spans="1:17" s="115" customFormat="1" ht="15.75" thickTop="1">
      <c r="A87" s="577"/>
      <c r="B87" s="536" t="s">
        <v>2788</v>
      </c>
      <c r="C87" s="571" t="s">
        <v>2600</v>
      </c>
      <c r="D87" s="571" t="s">
        <v>2601</v>
      </c>
      <c r="E87" s="571" t="s">
        <v>2602</v>
      </c>
      <c r="F87" s="571" t="s">
        <v>2603</v>
      </c>
      <c r="G87" s="571" t="s">
        <v>2604</v>
      </c>
      <c r="H87" s="576"/>
      <c r="I87" s="576"/>
      <c r="J87" s="576"/>
      <c r="K87" s="576"/>
      <c r="L87" s="696"/>
      <c r="M87" s="620"/>
      <c r="N87" s="1149"/>
      <c r="O87" s="1149"/>
      <c r="P87" s="45"/>
      <c r="Q87" s="502"/>
    </row>
    <row r="88" spans="1:17" s="115" customFormat="1" ht="15.75" thickBot="1">
      <c r="A88" s="577"/>
      <c r="B88" s="541"/>
      <c r="C88" s="580">
        <v>100</v>
      </c>
      <c r="D88" s="542">
        <f>C88-$K19</f>
        <v>100</v>
      </c>
      <c r="E88" s="542">
        <f>D88-$K19</f>
        <v>100</v>
      </c>
      <c r="F88" s="542">
        <f>E88-$K19</f>
        <v>100</v>
      </c>
      <c r="G88" s="542">
        <f>F88-$K19</f>
        <v>100</v>
      </c>
      <c r="H88" s="542"/>
      <c r="I88" s="542"/>
      <c r="J88" s="542"/>
      <c r="K88" s="542"/>
      <c r="L88" s="542"/>
      <c r="M88" s="543"/>
      <c r="N88" s="1151"/>
      <c r="O88" s="1151"/>
      <c r="P88" s="45"/>
      <c r="Q88" s="502"/>
    </row>
    <row r="89" spans="1:17" s="115" customFormat="1" ht="27.75" thickTop="1">
      <c r="A89" s="577"/>
      <c r="B89" s="536" t="s">
        <v>2789</v>
      </c>
      <c r="C89" s="571" t="s">
        <v>2600</v>
      </c>
      <c r="D89" s="571" t="s">
        <v>2601</v>
      </c>
      <c r="E89" s="571" t="s">
        <v>2602</v>
      </c>
      <c r="F89" s="571" t="s">
        <v>2603</v>
      </c>
      <c r="G89" s="571" t="s">
        <v>2604</v>
      </c>
      <c r="H89" s="576"/>
      <c r="I89" s="576"/>
      <c r="J89" s="576"/>
      <c r="K89" s="576"/>
      <c r="L89" s="576"/>
      <c r="M89" s="620"/>
      <c r="N89" s="1149"/>
      <c r="O89" s="1149"/>
      <c r="P89" s="45"/>
      <c r="Q89" s="502"/>
    </row>
    <row r="90" spans="1:17" s="115" customFormat="1" ht="15.75" thickBot="1">
      <c r="A90" s="577"/>
      <c r="B90" s="541"/>
      <c r="C90" s="542">
        <v>100</v>
      </c>
      <c r="D90" s="542">
        <f>C90-$K21</f>
        <v>100</v>
      </c>
      <c r="E90" s="542">
        <f>D90-$K21</f>
        <v>100</v>
      </c>
      <c r="F90" s="542">
        <f>E90-$K21</f>
        <v>100</v>
      </c>
      <c r="G90" s="542">
        <f>F90-$K21</f>
        <v>100</v>
      </c>
      <c r="H90" s="542"/>
      <c r="I90" s="542"/>
      <c r="J90" s="542"/>
      <c r="K90" s="542"/>
      <c r="L90" s="542"/>
      <c r="M90" s="543"/>
      <c r="N90" s="1151"/>
      <c r="O90" s="1151"/>
      <c r="P90" s="45"/>
      <c r="Q90" s="502"/>
    </row>
    <row r="91" spans="1:17" s="469" customFormat="1" ht="15.75" thickTop="1">
      <c r="A91" s="551"/>
      <c r="B91" s="536" t="s">
        <v>2657</v>
      </c>
      <c r="C91" s="571" t="s">
        <v>2600</v>
      </c>
      <c r="D91" s="571" t="s">
        <v>2601</v>
      </c>
      <c r="E91" s="571" t="s">
        <v>2602</v>
      </c>
      <c r="F91" s="571" t="s">
        <v>2603</v>
      </c>
      <c r="G91" s="571" t="s">
        <v>2604</v>
      </c>
      <c r="H91" s="598"/>
      <c r="I91" s="598"/>
      <c r="J91" s="598"/>
      <c r="K91" s="598"/>
      <c r="L91" s="599"/>
      <c r="M91" s="600"/>
      <c r="N91" s="1152"/>
      <c r="O91" s="1152"/>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2"/>
      <c r="O92" s="1152"/>
      <c r="P92" s="556"/>
      <c r="Q92" s="557"/>
    </row>
    <row r="93" spans="1:17" s="469" customFormat="1" ht="15.75" thickTop="1">
      <c r="A93" s="551"/>
      <c r="B93" s="544" t="s">
        <v>2806</v>
      </c>
      <c r="C93" s="658" t="s">
        <v>2678</v>
      </c>
      <c r="D93" s="658" t="s">
        <v>2679</v>
      </c>
      <c r="E93" s="658" t="s">
        <v>2680</v>
      </c>
      <c r="F93" s="658" t="s">
        <v>2681</v>
      </c>
      <c r="G93" s="658" t="s">
        <v>2682</v>
      </c>
      <c r="H93" s="598"/>
      <c r="I93" s="598"/>
      <c r="J93" s="598"/>
      <c r="K93" s="598"/>
      <c r="L93" s="598"/>
      <c r="M93" s="600"/>
      <c r="N93" s="1152"/>
      <c r="O93" s="1152"/>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3"/>
      <c r="N94" s="1152"/>
      <c r="O94" s="1152"/>
      <c r="P94" s="556"/>
      <c r="Q94" s="557"/>
    </row>
    <row r="95" spans="1:17" ht="15.75" thickTop="1">
      <c r="A95" s="532"/>
      <c r="B95" s="536" t="str">
        <f>B27</f>
        <v>临街状况</v>
      </c>
      <c r="C95" s="537" t="s">
        <v>2790</v>
      </c>
      <c r="D95" s="537" t="s">
        <v>2791</v>
      </c>
      <c r="E95" s="537" t="s">
        <v>2792</v>
      </c>
      <c r="F95" s="537" t="s">
        <v>2793</v>
      </c>
      <c r="G95" s="537"/>
      <c r="H95" s="537"/>
      <c r="I95" s="537"/>
      <c r="J95" s="537"/>
      <c r="K95" s="538"/>
      <c r="L95" s="539"/>
      <c r="M95" s="540"/>
      <c r="N95" s="1150"/>
      <c r="O95" s="1150"/>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1"/>
      <c r="O96" s="1151"/>
      <c r="P96" s="45"/>
      <c r="Q96" s="502"/>
    </row>
    <row r="97" spans="1:17" ht="27.75" thickTop="1">
      <c r="A97" s="532"/>
      <c r="B97" s="536" t="s">
        <v>2694</v>
      </c>
      <c r="C97" s="552"/>
      <c r="D97" s="552"/>
      <c r="E97" s="552"/>
      <c r="F97" s="552"/>
      <c r="G97" s="552"/>
      <c r="H97" s="581"/>
      <c r="I97" s="581"/>
      <c r="J97" s="581"/>
      <c r="K97" s="582"/>
      <c r="L97" s="583"/>
      <c r="M97" s="584"/>
      <c r="N97" s="1150"/>
      <c r="O97" s="1150"/>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1"/>
      <c r="O98" s="1151"/>
      <c r="P98" s="45"/>
      <c r="Q98" s="502"/>
    </row>
    <row r="99" spans="1:17" ht="15.75" thickTop="1">
      <c r="A99" s="532"/>
      <c r="B99" s="536" t="s">
        <v>2753</v>
      </c>
      <c r="C99" s="581"/>
      <c r="D99" s="581"/>
      <c r="E99" s="581"/>
      <c r="F99" s="581"/>
      <c r="G99" s="581"/>
      <c r="H99" s="581"/>
      <c r="I99" s="581"/>
      <c r="J99" s="581"/>
      <c r="K99" s="582"/>
      <c r="L99" s="583"/>
      <c r="M99" s="584"/>
      <c r="N99" s="1150"/>
      <c r="O99" s="1150"/>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1"/>
      <c r="O100" s="1151"/>
      <c r="P100" s="45"/>
      <c r="Q100" s="502"/>
    </row>
    <row r="101" spans="1:17" ht="15.75" thickTop="1">
      <c r="A101" s="532"/>
      <c r="B101" s="544">
        <f>B31</f>
        <v>111</v>
      </c>
      <c r="C101" s="552"/>
      <c r="D101" s="552"/>
      <c r="E101" s="552"/>
      <c r="F101" s="552"/>
      <c r="G101" s="585"/>
      <c r="H101" s="585"/>
      <c r="I101" s="585"/>
      <c r="J101" s="585"/>
      <c r="K101" s="586"/>
      <c r="L101" s="587"/>
      <c r="M101" s="588"/>
      <c r="N101" s="1150"/>
      <c r="O101" s="1150"/>
      <c r="P101" s="45"/>
      <c r="Q101" s="502"/>
    </row>
    <row r="102" spans="1:17" ht="15.75" thickBot="1">
      <c r="A102" s="532"/>
      <c r="B102" s="567"/>
      <c r="C102" s="558"/>
      <c r="D102" s="534"/>
      <c r="E102" s="534"/>
      <c r="F102" s="534"/>
      <c r="G102" s="589"/>
      <c r="H102" s="589"/>
      <c r="I102" s="589"/>
      <c r="J102" s="589"/>
      <c r="K102" s="589"/>
      <c r="L102" s="589"/>
      <c r="M102" s="590"/>
      <c r="N102" s="1151"/>
      <c r="O102" s="1151"/>
      <c r="P102" s="45"/>
      <c r="Q102" s="502"/>
    </row>
    <row r="103" spans="1:17" ht="15" thickTop="1">
      <c r="A103" s="673"/>
      <c r="B103" s="536">
        <f>B32</f>
        <v>111</v>
      </c>
      <c r="C103" s="552"/>
      <c r="D103" s="552"/>
      <c r="E103" s="552"/>
      <c r="F103" s="552"/>
      <c r="G103" s="581"/>
      <c r="H103" s="581"/>
      <c r="I103" s="581"/>
      <c r="J103" s="581"/>
      <c r="K103" s="582"/>
      <c r="L103" s="583"/>
      <c r="M103" s="584"/>
      <c r="N103" s="1150"/>
      <c r="O103" s="1150"/>
      <c r="P103" s="45"/>
      <c r="Q103" s="502"/>
    </row>
    <row r="104" spans="1:17" ht="15.75" thickBot="1">
      <c r="A104" s="532"/>
      <c r="B104" s="541"/>
      <c r="C104" s="558"/>
      <c r="D104" s="558"/>
      <c r="E104" s="558"/>
      <c r="F104" s="558"/>
      <c r="G104" s="534"/>
      <c r="H104" s="534"/>
      <c r="I104" s="534"/>
      <c r="J104" s="534"/>
      <c r="K104" s="534"/>
      <c r="L104" s="534"/>
      <c r="M104" s="535"/>
      <c r="N104" s="1151"/>
      <c r="O104" s="1151"/>
      <c r="P104" s="45"/>
      <c r="Q104" s="502"/>
    </row>
    <row r="105" spans="1:17" s="469" customFormat="1" ht="15" thickTop="1">
      <c r="A105" s="591"/>
      <c r="B105" s="592">
        <f>B33</f>
        <v>111</v>
      </c>
      <c r="C105" s="521"/>
      <c r="D105" s="521"/>
      <c r="E105" s="521"/>
      <c r="F105" s="521"/>
      <c r="G105" s="593"/>
      <c r="H105" s="593"/>
      <c r="I105" s="593"/>
      <c r="J105" s="594"/>
      <c r="K105" s="594"/>
      <c r="L105" s="595"/>
      <c r="M105" s="596"/>
      <c r="N105" s="1152"/>
      <c r="O105" s="1152"/>
      <c r="P105" s="556"/>
      <c r="Q105" s="557"/>
    </row>
    <row r="106" spans="1:17" s="469" customFormat="1" ht="15.75" thickBot="1">
      <c r="A106" s="551"/>
      <c r="B106" s="544"/>
      <c r="C106" s="568"/>
      <c r="D106" s="568"/>
      <c r="E106" s="568"/>
      <c r="F106" s="568"/>
      <c r="G106" s="675"/>
      <c r="H106" s="675"/>
      <c r="I106" s="675"/>
      <c r="J106" s="675"/>
      <c r="K106" s="675"/>
      <c r="L106" s="675"/>
      <c r="M106" s="697"/>
      <c r="N106" s="1151"/>
      <c r="O106" s="1151"/>
      <c r="P106" s="556"/>
      <c r="Q106" s="557"/>
    </row>
    <row r="107" spans="1:17">
      <c r="A107" s="525" t="s">
        <v>2566</v>
      </c>
      <c r="B107" s="526" t="s">
        <v>2794</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3" t="str">
        <f t="shared" si="25"/>
        <v>(含)-</v>
      </c>
      <c r="L107" s="1763" t="str">
        <f t="shared" si="25"/>
        <v>(含)-</v>
      </c>
      <c r="M107" s="1764" t="str">
        <f>M108&amp;"(含)"&amp;"-"&amp;P108</f>
        <v>(含)-</v>
      </c>
      <c r="N107" s="1150"/>
      <c r="O107" s="1150"/>
      <c r="P107" s="45"/>
      <c r="Q107" s="502"/>
    </row>
    <row r="108" spans="1:17" ht="15">
      <c r="A108" s="532"/>
      <c r="B108" s="544"/>
      <c r="C108" s="593"/>
      <c r="D108" s="593"/>
      <c r="E108" s="593"/>
      <c r="F108" s="593"/>
      <c r="G108" s="593"/>
      <c r="H108" s="593"/>
      <c r="I108" s="593"/>
      <c r="J108" s="594"/>
      <c r="K108" s="594"/>
      <c r="L108" s="595"/>
      <c r="M108" s="596"/>
      <c r="N108" s="1150"/>
      <c r="O108" s="1150"/>
      <c r="P108" s="45"/>
      <c r="Q108" s="502"/>
    </row>
    <row r="109" spans="1:17" ht="15.75" thickBot="1">
      <c r="A109" s="532"/>
      <c r="B109" s="541"/>
      <c r="C109" s="568"/>
      <c r="D109" s="589"/>
      <c r="E109" s="589"/>
      <c r="F109" s="589"/>
      <c r="G109" s="589"/>
      <c r="H109" s="589"/>
      <c r="I109" s="589"/>
      <c r="J109" s="589"/>
      <c r="K109" s="589"/>
      <c r="L109" s="589"/>
      <c r="M109" s="590"/>
      <c r="N109" s="1151"/>
      <c r="O109" s="1151"/>
      <c r="P109" s="45"/>
      <c r="Q109" s="502"/>
    </row>
    <row r="110" spans="1:17" ht="15" thickTop="1">
      <c r="A110" s="597"/>
      <c r="B110" s="536" t="s">
        <v>2795</v>
      </c>
      <c r="C110" s="581"/>
      <c r="D110" s="581"/>
      <c r="E110" s="581"/>
      <c r="F110" s="581"/>
      <c r="G110" s="581"/>
      <c r="H110" s="581"/>
      <c r="I110" s="581"/>
      <c r="J110" s="581"/>
      <c r="K110" s="582"/>
      <c r="L110" s="583"/>
      <c r="M110" s="584"/>
      <c r="N110" s="1150"/>
      <c r="O110" s="1150"/>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1"/>
      <c r="O111" s="1151"/>
      <c r="P111" s="45"/>
      <c r="Q111" s="502"/>
    </row>
    <row r="112" spans="1:17" s="469" customFormat="1" ht="15" thickTop="1">
      <c r="A112" s="591"/>
      <c r="B112" s="536" t="s">
        <v>2797</v>
      </c>
      <c r="C112" s="552"/>
      <c r="D112" s="552"/>
      <c r="E112" s="552"/>
      <c r="F112" s="552"/>
      <c r="G112" s="552"/>
      <c r="H112" s="581"/>
      <c r="I112" s="581"/>
      <c r="J112" s="581"/>
      <c r="K112" s="582"/>
      <c r="L112" s="583"/>
      <c r="M112" s="584"/>
      <c r="N112" s="1152"/>
      <c r="O112" s="1152"/>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2"/>
      <c r="O113" s="1152"/>
      <c r="P113" s="556"/>
      <c r="Q113" s="557"/>
    </row>
    <row r="114" spans="1:17" ht="15" thickTop="1">
      <c r="A114" s="597"/>
      <c r="B114" s="536" t="s">
        <v>2798</v>
      </c>
      <c r="C114" s="552"/>
      <c r="D114" s="552"/>
      <c r="E114" s="581"/>
      <c r="F114" s="581"/>
      <c r="G114" s="581"/>
      <c r="H114" s="581"/>
      <c r="I114" s="581"/>
      <c r="J114" s="581"/>
      <c r="K114" s="582"/>
      <c r="L114" s="583"/>
      <c r="M114" s="584"/>
      <c r="N114" s="1150"/>
      <c r="O114" s="1150"/>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1"/>
      <c r="O115" s="1151"/>
      <c r="P115" s="45"/>
      <c r="Q115" s="502"/>
    </row>
    <row r="116" spans="1:17" ht="15" thickTop="1">
      <c r="A116" s="597"/>
      <c r="B116" s="536">
        <f>B38</f>
        <v>111</v>
      </c>
      <c r="C116" s="552"/>
      <c r="D116" s="552"/>
      <c r="E116" s="552"/>
      <c r="F116" s="552"/>
      <c r="G116" s="552"/>
      <c r="H116" s="581"/>
      <c r="I116" s="581"/>
      <c r="J116" s="581"/>
      <c r="K116" s="582"/>
      <c r="L116" s="583"/>
      <c r="M116" s="584"/>
      <c r="N116" s="1150"/>
      <c r="O116" s="1150"/>
      <c r="P116" s="45"/>
      <c r="Q116" s="502"/>
    </row>
    <row r="117" spans="1:17" ht="15.75" thickBot="1">
      <c r="A117" s="532"/>
      <c r="B117" s="541"/>
      <c r="C117" s="558"/>
      <c r="D117" s="534"/>
      <c r="E117" s="534"/>
      <c r="F117" s="534"/>
      <c r="G117" s="534"/>
      <c r="H117" s="534"/>
      <c r="I117" s="534"/>
      <c r="J117" s="534"/>
      <c r="K117" s="534"/>
      <c r="L117" s="534"/>
      <c r="M117" s="535"/>
      <c r="N117" s="1151"/>
      <c r="O117" s="1151"/>
      <c r="P117" s="45"/>
      <c r="Q117" s="502"/>
    </row>
    <row r="118" spans="1:17" ht="15" thickTop="1">
      <c r="A118" s="597"/>
      <c r="B118" s="536">
        <f>B39</f>
        <v>111</v>
      </c>
      <c r="C118" s="552"/>
      <c r="D118" s="552"/>
      <c r="E118" s="552"/>
      <c r="F118" s="552"/>
      <c r="G118" s="581"/>
      <c r="H118" s="581"/>
      <c r="I118" s="581"/>
      <c r="J118" s="581"/>
      <c r="K118" s="582"/>
      <c r="L118" s="583"/>
      <c r="M118" s="584"/>
      <c r="N118" s="1150"/>
      <c r="O118" s="1150"/>
      <c r="P118" s="45"/>
      <c r="Q118" s="502"/>
    </row>
    <row r="119" spans="1:17" ht="15.75" thickBot="1">
      <c r="A119" s="532"/>
      <c r="B119" s="541"/>
      <c r="C119" s="558"/>
      <c r="D119" s="558"/>
      <c r="E119" s="558"/>
      <c r="F119" s="558"/>
      <c r="G119" s="534"/>
      <c r="H119" s="534"/>
      <c r="I119" s="534"/>
      <c r="J119" s="534"/>
      <c r="K119" s="534"/>
      <c r="L119" s="534"/>
      <c r="M119" s="535"/>
      <c r="N119" s="1151"/>
      <c r="O119" s="1151"/>
      <c r="P119" s="45"/>
      <c r="Q119" s="502"/>
    </row>
    <row r="120" spans="1:17" s="469" customFormat="1" ht="15" thickTop="1">
      <c r="A120" s="591"/>
      <c r="B120" s="536">
        <f>B40</f>
        <v>111</v>
      </c>
      <c r="C120" s="521"/>
      <c r="D120" s="521"/>
      <c r="E120" s="521"/>
      <c r="F120" s="521"/>
      <c r="G120" s="553"/>
      <c r="H120" s="553"/>
      <c r="I120" s="553"/>
      <c r="J120" s="553"/>
      <c r="K120" s="553"/>
      <c r="L120" s="554"/>
      <c r="M120" s="555"/>
      <c r="N120" s="1152"/>
      <c r="O120" s="1152"/>
      <c r="P120" s="556"/>
      <c r="Q120" s="557"/>
    </row>
    <row r="121" spans="1:17" s="469" customFormat="1" ht="15.75" thickBot="1">
      <c r="A121" s="566"/>
      <c r="B121" s="698"/>
      <c r="C121" s="568"/>
      <c r="D121" s="568"/>
      <c r="E121" s="568"/>
      <c r="F121" s="568"/>
      <c r="G121" s="589"/>
      <c r="H121" s="589"/>
      <c r="I121" s="589"/>
      <c r="J121" s="589"/>
      <c r="K121" s="589"/>
      <c r="L121" s="589"/>
      <c r="M121" s="590"/>
      <c r="N121" s="1152"/>
      <c r="O121" s="1152"/>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88" customWidth="1"/>
    <col min="2" max="2" width="19.25" style="2894" customWidth="1"/>
    <col min="3" max="4" width="12" style="2712"/>
    <col min="5" max="5" width="14.625" style="2712" customWidth="1"/>
    <col min="6" max="8" width="12" style="2712"/>
    <col min="9" max="9" width="12.25" style="2712" bestFit="1" customWidth="1"/>
    <col min="10" max="10" width="12" style="2712"/>
    <col min="11" max="11" width="8.125" style="2780" customWidth="1"/>
    <col min="12" max="12" width="12" style="2712"/>
    <col min="13" max="13" width="8.5" style="2712" customWidth="1"/>
    <col min="14" max="14" width="9.75" style="2712" customWidth="1"/>
    <col min="15" max="25" width="12" style="2712"/>
    <col min="26" max="26" width="9.375" style="2788" customWidth="1"/>
    <col min="27" max="32" width="9.375" style="1370" customWidth="1"/>
    <col min="33" max="36" width="9.375" style="2788" customWidth="1"/>
    <col min="37" max="38" width="9.375" style="2712" customWidth="1"/>
    <col min="39" max="16384" width="12" style="2712"/>
  </cols>
  <sheetData>
    <row r="1" spans="1:36" ht="28.5">
      <c r="A1" s="238" t="s">
        <v>2807</v>
      </c>
      <c r="B1" s="239"/>
      <c r="C1" s="243" t="s">
        <v>2808</v>
      </c>
      <c r="D1" s="386">
        <f>SUM(D29:D30,D33:D39)</f>
        <v>0</v>
      </c>
      <c r="E1" s="2709"/>
      <c r="F1" s="2709"/>
      <c r="G1" s="2709"/>
      <c r="H1" s="2709"/>
      <c r="I1" s="2709"/>
      <c r="J1" s="2709"/>
      <c r="K1" s="1368"/>
      <c r="L1" s="2710" t="s">
        <v>2809</v>
      </c>
      <c r="M1" s="1078">
        <f>SUMPRODUCT((区片价!B5:B9=I2)*(区片价!C3:F3=E2)*(区片价!C5:F9))</f>
        <v>0</v>
      </c>
      <c r="N1" s="1081">
        <f>SUMPRODUCT((因素修正幅度!B5:B9=I2)*(因素修正幅度!C3:F3=E2)*(因素修正幅度!C5:F9))</f>
        <v>0</v>
      </c>
      <c r="O1" s="2711"/>
      <c r="P1" s="2711"/>
      <c r="Q1" s="1368"/>
      <c r="R1" s="1599" t="s">
        <v>2810</v>
      </c>
      <c r="S1" s="1599" t="s">
        <v>2811</v>
      </c>
      <c r="T1" s="1599" t="s">
        <v>2812</v>
      </c>
      <c r="U1" s="1599" t="s">
        <v>2813</v>
      </c>
      <c r="V1" s="1599" t="s">
        <v>2814</v>
      </c>
      <c r="W1" s="1603"/>
      <c r="X1" s="1603"/>
      <c r="Y1" s="1603"/>
      <c r="Z1" s="1603"/>
      <c r="AA1" s="1603"/>
      <c r="AB1" s="1603"/>
      <c r="AC1" s="1604"/>
      <c r="AD1" s="1605"/>
      <c r="AE1" s="1605"/>
      <c r="AF1" s="1605"/>
      <c r="AG1" s="1605"/>
      <c r="AH1" s="1605"/>
      <c r="AI1" s="1605"/>
      <c r="AJ1" s="1606"/>
    </row>
    <row r="2" spans="1:36" ht="15.75">
      <c r="A2" s="243" t="s">
        <v>2815</v>
      </c>
      <c r="B2" s="246" t="e">
        <f>C26</f>
        <v>#DIV/0!</v>
      </c>
      <c r="C2" s="2713" t="s">
        <v>2816</v>
      </c>
      <c r="D2" s="2714" t="s">
        <v>2817</v>
      </c>
      <c r="E2" s="2715"/>
      <c r="F2" s="2714" t="s">
        <v>2818</v>
      </c>
      <c r="G2" s="2716">
        <f>IF(E2="商业",项目基本情况!B37,IF(E2="办公",项目基本情况!C37,IF(E2="住宅",项目基本情况!D37,项目基本情况!E37)))</f>
        <v>0</v>
      </c>
      <c r="H2" s="2714" t="s">
        <v>2819</v>
      </c>
      <c r="I2" s="2716">
        <f>IF(E2="商业",项目基本情况!B38,IF(E2="办公",项目基本情况!C38,IF(E2="住宅",项目基本情况!D38,项目基本情况!E38)))</f>
        <v>0</v>
      </c>
      <c r="J2" s="2717"/>
      <c r="K2" s="1368"/>
      <c r="L2" s="2718" t="s">
        <v>2820</v>
      </c>
      <c r="M2" s="1079">
        <f>SUMPRODUCT((区片价!B10:B28=I2)*(区片价!C3:F3=E2)*(区片价!C10:F28))</f>
        <v>0</v>
      </c>
      <c r="N2" s="1081">
        <f>SUMPRODUCT((因素修正幅度!B10:B28=I2)*(因素修正幅度!C3:F3=E2)*(因素修正幅度!C10:F28))</f>
        <v>0</v>
      </c>
      <c r="O2" s="1368"/>
      <c r="P2" s="1368"/>
      <c r="Q2" s="1368"/>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5" t="s">
        <v>2821</v>
      </c>
      <c r="B3" s="246" t="e">
        <f>ROUND(B2*10000/D1,0)</f>
        <v>#DIV/0!</v>
      </c>
      <c r="C3" s="2713" t="s">
        <v>2822</v>
      </c>
      <c r="D3" s="2714" t="s">
        <v>2823</v>
      </c>
      <c r="E3" s="2719"/>
      <c r="F3" s="2720" t="s">
        <v>2824</v>
      </c>
      <c r="G3" s="911">
        <f>IF(F3="宗地容积率",'数据-汇总表'!I4,IF(F3="估价对象容积率",'数据-汇总表'!I6,'数据-汇总表'!I7))</f>
        <v>2.54</v>
      </c>
      <c r="H3" s="196" t="s">
        <v>2825</v>
      </c>
      <c r="I3" s="942"/>
      <c r="J3" s="2717" t="s">
        <v>2826</v>
      </c>
      <c r="K3" s="1368"/>
      <c r="L3" s="2718" t="s">
        <v>2827</v>
      </c>
      <c r="M3" s="1079">
        <f>SUMPRODUCT((区片价!B29:B48=I2)*(区片价!C3:F3=E2)*(区片价!C29:F48))</f>
        <v>0</v>
      </c>
      <c r="N3" s="1081">
        <f>SUMPRODUCT((因素修正幅度!B29:B48=I2)*(因素修正幅度!C3:F3=E2)*(因素修正幅度!C29:F48))</f>
        <v>0</v>
      </c>
      <c r="O3" s="1368"/>
      <c r="P3" s="1368"/>
      <c r="Q3" s="1368"/>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296"/>
      <c r="B4" s="3297"/>
      <c r="C4" s="3297"/>
      <c r="D4" s="3298"/>
      <c r="E4" s="3298"/>
      <c r="F4" s="3298"/>
      <c r="G4" s="3298"/>
      <c r="H4" s="3298"/>
      <c r="I4" s="3298"/>
      <c r="J4" s="3299"/>
      <c r="K4" s="1368"/>
      <c r="L4" s="2718" t="s">
        <v>2828</v>
      </c>
      <c r="M4" s="1079">
        <f>SUMPRODUCT((区片价!B49:B75=I2)*(区片价!C3:F3=E2)*(区片价!C49:F75))</f>
        <v>0</v>
      </c>
      <c r="N4" s="1081">
        <f>SUMPRODUCT((因素修正幅度!B49:B75=I2)*(因素修正幅度!C3:F3=E2)*(因素修正幅度!C49:F75))</f>
        <v>0</v>
      </c>
      <c r="O4" s="1368"/>
      <c r="P4" s="1368"/>
      <c r="Q4" s="1368"/>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0" customFormat="1" ht="15.75" thickBot="1">
      <c r="A5" s="2721" t="s">
        <v>807</v>
      </c>
      <c r="B5" s="2722" t="s">
        <v>2829</v>
      </c>
      <c r="C5" s="912" t="e">
        <f>ROUND(IF(E2="商业",IF(F16="增加",C6*C7+C16,C6*C7-C16),IF(E2="住宅",IF(F16="增加",C6*C12+C16,C6*C12-C16),IF(F16="增加",C6+C16,C6-C16))),0)</f>
        <v>#DIV/0!</v>
      </c>
      <c r="D5" s="1784">
        <f>ROUND(IF(E2="商业",IF(F16="增加",C6+C16,C6-C16)),0)</f>
        <v>0</v>
      </c>
      <c r="E5" s="2723"/>
      <c r="F5" s="2723"/>
      <c r="G5" s="2724"/>
      <c r="H5" s="2724"/>
      <c r="I5" s="2724"/>
      <c r="J5" s="2725"/>
      <c r="K5" s="2726"/>
      <c r="L5" s="2718" t="s">
        <v>2830</v>
      </c>
      <c r="M5" s="1079">
        <f>SUMPRODUCT((区片价!B76:B109=I2)*(区片价!C3:F3=E2)*(区片价!C76:F109))</f>
        <v>0</v>
      </c>
      <c r="N5" s="1081">
        <f>SUMPRODUCT((因素修正幅度!B76:B109=I2)*(因素修正幅度!C3:F3=E2)*(因素修正幅度!C76:F109))</f>
        <v>0</v>
      </c>
      <c r="O5" s="1368"/>
      <c r="P5" s="1368"/>
      <c r="Q5" s="1368"/>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27"/>
      <c r="AD5" s="2728"/>
      <c r="AE5" s="2728"/>
      <c r="AF5" s="2728"/>
      <c r="AG5" s="2728"/>
      <c r="AH5" s="2728"/>
      <c r="AI5" s="2728"/>
      <c r="AJ5" s="2729"/>
    </row>
    <row r="6" spans="1:36" ht="15.75" thickBot="1">
      <c r="A6" s="2731" t="s">
        <v>2831</v>
      </c>
      <c r="B6" s="2732" t="s">
        <v>2832</v>
      </c>
      <c r="C6" s="913">
        <f>SUMIF(L1:L12,G2,M1:M12)</f>
        <v>0</v>
      </c>
      <c r="D6" s="2733" t="s">
        <v>2833</v>
      </c>
      <c r="E6" s="2734"/>
      <c r="F6" s="2734"/>
      <c r="G6" s="2735"/>
      <c r="H6" s="2735"/>
      <c r="I6" s="2735"/>
      <c r="J6" s="2736"/>
      <c r="K6" s="1839"/>
      <c r="L6" s="2718" t="s">
        <v>2834</v>
      </c>
      <c r="M6" s="1079">
        <f>SUMPRODUCT((区片价!B110:B157=I2)*(区片价!C3:F3=E2)*(区片价!C110:F157))</f>
        <v>0</v>
      </c>
      <c r="N6" s="1081">
        <f>SUMPRODUCT((因素修正幅度!B110:B157=I2)*(因素修正幅度!C3:F3=E2)*(因素修正幅度!C110:F157))</f>
        <v>0</v>
      </c>
      <c r="O6" s="1368"/>
      <c r="P6" s="1368"/>
      <c r="Q6" s="1368"/>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27"/>
      <c r="AD6" s="2728"/>
      <c r="AE6" s="2728"/>
      <c r="AF6" s="2728"/>
      <c r="AG6" s="2728"/>
      <c r="AH6" s="2728"/>
      <c r="AI6" s="2728"/>
      <c r="AJ6" s="2729"/>
    </row>
    <row r="7" spans="1:36" ht="24">
      <c r="A7" s="3282" t="str">
        <f>IF(E2="商业",IF(C8="不临58条商业街","",2),"")</f>
        <v/>
      </c>
      <c r="B7" s="2737" t="s">
        <v>2835</v>
      </c>
      <c r="C7" s="914" t="e">
        <f>IF(C8="不临58条商业街",1,ROUND(1+(1.6*E8+1.2*E9+0.8*E10+0.4*E11)*C9,4))</f>
        <v>#DIV/0!</v>
      </c>
      <c r="D7" s="2738" t="s">
        <v>2836</v>
      </c>
      <c r="E7" s="943"/>
      <c r="F7" s="2739"/>
      <c r="G7" s="2740"/>
      <c r="H7" s="2740"/>
      <c r="I7" s="2740"/>
      <c r="J7" s="2741"/>
      <c r="K7" s="1839"/>
      <c r="L7" s="2718" t="s">
        <v>2837</v>
      </c>
      <c r="M7" s="1079">
        <f>SUMPRODUCT((区片价!B158:B205=I2)*(区片价!C3:F3=E2)*(区片价!C158:F205))</f>
        <v>0</v>
      </c>
      <c r="N7" s="1081">
        <f>SUMPRODUCT((因素修正幅度!B158:B205=I2)*(因素修正幅度!C3:F3=E2)*(因素修正幅度!C158:F205))</f>
        <v>0</v>
      </c>
      <c r="O7" s="1368"/>
      <c r="P7" s="1368"/>
      <c r="Q7" s="1368"/>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2838</v>
      </c>
      <c r="X7" s="1601">
        <f>G2</f>
        <v>0</v>
      </c>
      <c r="Y7" s="1601" t="s">
        <v>2839</v>
      </c>
      <c r="Z7" s="1602">
        <f>G3</f>
        <v>2.54</v>
      </c>
      <c r="AA7" s="1603"/>
      <c r="AB7" s="1603"/>
      <c r="AC7" s="1604"/>
      <c r="AD7" s="1605"/>
      <c r="AE7" s="1605"/>
      <c r="AF7" s="1605"/>
      <c r="AG7" s="1605"/>
      <c r="AH7" s="1605"/>
      <c r="AI7" s="1605"/>
      <c r="AJ7" s="1606"/>
    </row>
    <row r="8" spans="1:36" ht="15">
      <c r="A8" s="3283"/>
      <c r="B8" s="196" t="s">
        <v>2840</v>
      </c>
      <c r="C8" s="2742"/>
      <c r="D8" s="915" t="s">
        <v>139</v>
      </c>
      <c r="E8" s="916" t="e">
        <f>ROUND(C11/E7,4)</f>
        <v>#DIV/0!</v>
      </c>
      <c r="F8" s="2743" t="s">
        <v>2841</v>
      </c>
      <c r="G8" s="2744"/>
      <c r="H8" s="2744"/>
      <c r="I8" s="2744"/>
      <c r="J8" s="2745"/>
      <c r="K8" s="1368"/>
      <c r="L8" s="2718" t="s">
        <v>2842</v>
      </c>
      <c r="M8" s="1079">
        <f>SUMPRODUCT((区片价!B206:B244=I2)*(区片价!C3:F3=E2)*(区片价!C206:F244))</f>
        <v>0</v>
      </c>
      <c r="N8" s="1081">
        <f>SUMPRODUCT((因素修正幅度!B206:B244=I2)*(因素修正幅度!C3:F3=E2)*(因素修正幅度!C206:F244))</f>
        <v>0</v>
      </c>
      <c r="O8" s="1368"/>
      <c r="P8" s="1368"/>
      <c r="Q8" s="1368"/>
      <c r="R8" s="1599">
        <v>7</v>
      </c>
      <c r="S8" s="1600"/>
      <c r="T8" s="1599" t="e">
        <f t="shared" si="0"/>
        <v>#DIV/0!</v>
      </c>
      <c r="U8" s="1600"/>
      <c r="V8" s="1599" t="e">
        <f t="shared" si="1"/>
        <v>#DIV/0!</v>
      </c>
      <c r="W8" s="3293" t="s">
        <v>2843</v>
      </c>
      <c r="X8" s="3294"/>
      <c r="Y8" s="1607" t="s">
        <v>2844</v>
      </c>
      <c r="Z8" s="1607" t="s">
        <v>2845</v>
      </c>
      <c r="AA8" s="1607" t="s">
        <v>2846</v>
      </c>
      <c r="AB8" s="1607" t="s">
        <v>2847</v>
      </c>
      <c r="AC8" s="1607" t="s">
        <v>2848</v>
      </c>
      <c r="AD8" s="1607" t="s">
        <v>2849</v>
      </c>
      <c r="AE8" s="1607" t="s">
        <v>2850</v>
      </c>
      <c r="AF8" s="1607" t="s">
        <v>2851</v>
      </c>
      <c r="AG8" s="1607" t="s">
        <v>2852</v>
      </c>
      <c r="AH8" s="1607" t="s">
        <v>2853</v>
      </c>
      <c r="AI8" s="1607" t="s">
        <v>2854</v>
      </c>
      <c r="AJ8" s="1607" t="s">
        <v>2855</v>
      </c>
    </row>
    <row r="9" spans="1:36" ht="15">
      <c r="A9" s="3283"/>
      <c r="B9" s="196" t="s">
        <v>2856</v>
      </c>
      <c r="C9" s="917">
        <f>SUMIF(修正!C59:C119,C8,修正!E59:E119)</f>
        <v>0</v>
      </c>
      <c r="D9" s="198" t="s">
        <v>140</v>
      </c>
      <c r="E9" s="198" t="e">
        <f>ROUND(C11/E7,4)</f>
        <v>#DIV/0!</v>
      </c>
      <c r="F9" s="2743" t="s">
        <v>2857</v>
      </c>
      <c r="G9" s="2744"/>
      <c r="H9" s="2744"/>
      <c r="I9" s="2744"/>
      <c r="J9" s="2745"/>
      <c r="K9" s="1368"/>
      <c r="L9" s="2718" t="s">
        <v>2858</v>
      </c>
      <c r="M9" s="1079">
        <f>SUMPRODUCT((区片价!B245:B289=I2)*(区片价!C3:F3=E2)*(区片价!C245:F289))</f>
        <v>0</v>
      </c>
      <c r="N9" s="1081">
        <f>SUMPRODUCT((因素修正幅度!B245:B289=I2)*(因素修正幅度!C3:F3=E2)*(因素修正幅度!C245:F289))</f>
        <v>0</v>
      </c>
      <c r="O9" s="1368"/>
      <c r="P9" s="1368"/>
      <c r="Q9" s="1368"/>
      <c r="R9" s="1599">
        <v>8</v>
      </c>
      <c r="S9" s="1600"/>
      <c r="T9" s="1599" t="e">
        <f t="shared" si="0"/>
        <v>#DIV/0!</v>
      </c>
      <c r="U9" s="1600"/>
      <c r="V9" s="1599" t="e">
        <f t="shared" si="1"/>
        <v>#DIV/0!</v>
      </c>
      <c r="W9" s="3295" t="s">
        <v>2859</v>
      </c>
      <c r="X9" s="1608" t="s">
        <v>2860</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283"/>
      <c r="B10" s="196" t="s">
        <v>2861</v>
      </c>
      <c r="C10" s="198">
        <f>SUMIF(修正!C59:C119,C8,修正!F59:F119)</f>
        <v>0</v>
      </c>
      <c r="D10" s="198" t="s">
        <v>141</v>
      </c>
      <c r="E10" s="198" t="e">
        <f>ROUND(C11/E7,4)</f>
        <v>#DIV/0!</v>
      </c>
      <c r="F10" s="2743" t="s">
        <v>2862</v>
      </c>
      <c r="G10" s="2744"/>
      <c r="H10" s="2744"/>
      <c r="I10" s="2744"/>
      <c r="J10" s="2745"/>
      <c r="K10" s="1368"/>
      <c r="L10" s="2718" t="s">
        <v>2863</v>
      </c>
      <c r="M10" s="1079">
        <f>SUMPRODUCT((区片价!B290:B316=I2)*(区片价!C3:F3=E2)*(区片价!C290:F316))</f>
        <v>0</v>
      </c>
      <c r="N10" s="1081">
        <f>SUMPRODUCT((因素修正幅度!B290:B316=I2)*(因素修正幅度!C3:F3=E2)*(因素修正幅度!C290:F316))</f>
        <v>0</v>
      </c>
      <c r="O10" s="1368"/>
      <c r="P10" s="1368"/>
      <c r="Q10" s="1368"/>
      <c r="R10" s="1599">
        <v>9</v>
      </c>
      <c r="S10" s="1600"/>
      <c r="T10" s="1599" t="e">
        <f t="shared" si="0"/>
        <v>#DIV/0!</v>
      </c>
      <c r="U10" s="1600"/>
      <c r="V10" s="1599" t="e">
        <f t="shared" si="1"/>
        <v>#DIV/0!</v>
      </c>
      <c r="W10" s="3295"/>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283"/>
      <c r="B11" s="2746" t="s">
        <v>2864</v>
      </c>
      <c r="C11" s="918">
        <f>C10/4</f>
        <v>0</v>
      </c>
      <c r="D11" s="918" t="s">
        <v>142</v>
      </c>
      <c r="E11" s="918" t="e">
        <f>ROUND(C11/E7,4)</f>
        <v>#DIV/0!</v>
      </c>
      <c r="F11" s="2747" t="s">
        <v>2865</v>
      </c>
      <c r="G11" s="2748"/>
      <c r="H11" s="2748"/>
      <c r="I11" s="2748"/>
      <c r="J11" s="2749"/>
      <c r="K11" s="1368"/>
      <c r="L11" s="2718" t="s">
        <v>2866</v>
      </c>
      <c r="M11" s="1079">
        <f>SUMPRODUCT((区片价!B317:B337=I2)*(区片价!C3:F3=E2)*(区片价!C317:F337))</f>
        <v>0</v>
      </c>
      <c r="N11" s="1081">
        <f>SUMPRODUCT((因素修正幅度!B317:B337=I2)*(因素修正幅度!C3:F3=E2)*(因素修正幅度!C317:F337))</f>
        <v>0</v>
      </c>
      <c r="O11" s="1368"/>
      <c r="P11" s="1368"/>
      <c r="Q11" s="1368"/>
      <c r="R11" s="1599">
        <v>10</v>
      </c>
      <c r="S11" s="1600"/>
      <c r="T11" s="1599" t="e">
        <f t="shared" si="0"/>
        <v>#DIV/0!</v>
      </c>
      <c r="U11" s="1600"/>
      <c r="V11" s="1599" t="e">
        <f t="shared" si="1"/>
        <v>#DIV/0!</v>
      </c>
      <c r="W11" s="3295" t="s">
        <v>2867</v>
      </c>
      <c r="X11" s="1611" t="s">
        <v>2868</v>
      </c>
      <c r="Y11" s="1612">
        <f>$G$3</f>
        <v>2.54</v>
      </c>
      <c r="Z11" s="1612">
        <f t="shared" ref="Z11:AJ11" si="3">$G$3</f>
        <v>2.54</v>
      </c>
      <c r="AA11" s="1612">
        <f t="shared" si="3"/>
        <v>2.54</v>
      </c>
      <c r="AB11" s="1612">
        <f t="shared" si="3"/>
        <v>2.54</v>
      </c>
      <c r="AC11" s="1612">
        <f t="shared" si="3"/>
        <v>2.54</v>
      </c>
      <c r="AD11" s="1612">
        <f t="shared" si="3"/>
        <v>2.54</v>
      </c>
      <c r="AE11" s="1612">
        <f t="shared" si="3"/>
        <v>2.54</v>
      </c>
      <c r="AF11" s="1612">
        <f t="shared" si="3"/>
        <v>2.54</v>
      </c>
      <c r="AG11" s="1612">
        <f t="shared" si="3"/>
        <v>2.54</v>
      </c>
      <c r="AH11" s="1612">
        <f t="shared" si="3"/>
        <v>2.54</v>
      </c>
      <c r="AI11" s="1612">
        <f t="shared" si="3"/>
        <v>2.54</v>
      </c>
      <c r="AJ11" s="1612">
        <f t="shared" si="3"/>
        <v>2.54</v>
      </c>
    </row>
    <row r="12" spans="1:36" ht="25.5" thickBot="1">
      <c r="A12" s="3282" t="s">
        <v>2869</v>
      </c>
      <c r="B12" s="2750" t="s">
        <v>2870</v>
      </c>
      <c r="C12" s="914">
        <f>ROUND(C15*D15*E15*F15*G15*H15*I15*J15,4)</f>
        <v>1</v>
      </c>
      <c r="D12" s="2751" t="s">
        <v>2871</v>
      </c>
      <c r="E12" s="2752"/>
      <c r="F12" s="2752"/>
      <c r="G12" s="2753"/>
      <c r="H12" s="2753"/>
      <c r="I12" s="2753"/>
      <c r="J12" s="2754"/>
      <c r="K12" s="1368"/>
      <c r="L12" s="2755" t="s">
        <v>2872</v>
      </c>
      <c r="M12" s="1080">
        <f>SUMPRODUCT((区片价!B338:B344=I2)*(区片价!C3:F3=E2)*(区片价!C338:F344))</f>
        <v>0</v>
      </c>
      <c r="N12" s="1081">
        <f>SUMPRODUCT((因素修正幅度!B338:B344=I2)*(因素修正幅度!C3:F3=E2)*(因素修正幅度!C338:F344))</f>
        <v>0</v>
      </c>
      <c r="O12" s="1368"/>
      <c r="P12" s="1368"/>
      <c r="Q12" s="1368"/>
      <c r="R12" s="1599">
        <v>11</v>
      </c>
      <c r="S12" s="1600"/>
      <c r="T12" s="1599" t="e">
        <f t="shared" si="0"/>
        <v>#DIV/0!</v>
      </c>
      <c r="U12" s="1600"/>
      <c r="V12" s="1599" t="e">
        <f t="shared" si="1"/>
        <v>#DIV/0!</v>
      </c>
      <c r="W12" s="3295"/>
      <c r="X12" s="1613" t="s">
        <v>2873</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300"/>
      <c r="B13" s="2756" t="s">
        <v>2874</v>
      </c>
      <c r="C13" s="2757" t="s">
        <v>2875</v>
      </c>
      <c r="D13" s="1805" t="s">
        <v>2876</v>
      </c>
      <c r="E13" s="1805" t="s">
        <v>2877</v>
      </c>
      <c r="F13" s="30" t="s">
        <v>2878</v>
      </c>
      <c r="G13" s="2758" t="s">
        <v>2879</v>
      </c>
      <c r="H13" s="2758" t="s">
        <v>2879</v>
      </c>
      <c r="I13" s="2758" t="s">
        <v>2879</v>
      </c>
      <c r="J13" s="2759" t="s">
        <v>2879</v>
      </c>
      <c r="K13" s="1368"/>
      <c r="L13" s="1368"/>
      <c r="M13" s="1368"/>
      <c r="N13" s="1368"/>
      <c r="O13" s="1368"/>
      <c r="P13" s="1368"/>
      <c r="Q13" s="1368"/>
      <c r="R13" s="1599">
        <v>12</v>
      </c>
      <c r="S13" s="1600"/>
      <c r="T13" s="1599" t="e">
        <f t="shared" si="0"/>
        <v>#DIV/0!</v>
      </c>
      <c r="U13" s="1600"/>
      <c r="V13" s="1599" t="e">
        <f t="shared" si="1"/>
        <v>#DIV/0!</v>
      </c>
      <c r="W13" s="3295"/>
      <c r="X13" s="1613"/>
      <c r="Y13" s="1610">
        <f>(-0.163*(Y12^2)-0.59*Y12+7617)*(10^(-4))/Y11</f>
        <v>0.29988188976377955</v>
      </c>
      <c r="Z13" s="1610">
        <f t="shared" ref="Z13:AJ13" si="5">(-0.163*(Z12^2)-0.59*Z12+7617)*(10^(-4))/Z11</f>
        <v>0.29988188976377955</v>
      </c>
      <c r="AA13" s="1610">
        <f t="shared" si="5"/>
        <v>0.29988188976377955</v>
      </c>
      <c r="AB13" s="1610">
        <f t="shared" si="5"/>
        <v>0.29988188976377955</v>
      </c>
      <c r="AC13" s="1610">
        <f t="shared" si="5"/>
        <v>0.29988188976377955</v>
      </c>
      <c r="AD13" s="1610">
        <f t="shared" si="5"/>
        <v>0.29988188976377955</v>
      </c>
      <c r="AE13" s="1610">
        <f t="shared" si="5"/>
        <v>0.29988188976377955</v>
      </c>
      <c r="AF13" s="1610">
        <f t="shared" si="5"/>
        <v>0.29988188976377955</v>
      </c>
      <c r="AG13" s="1610">
        <f t="shared" si="5"/>
        <v>0.29988188976377955</v>
      </c>
      <c r="AH13" s="1610">
        <f t="shared" si="5"/>
        <v>0.29988188976377955</v>
      </c>
      <c r="AI13" s="1610">
        <f t="shared" si="5"/>
        <v>0.29988188976377955</v>
      </c>
      <c r="AJ13" s="1610">
        <f t="shared" si="5"/>
        <v>0.29988188976377955</v>
      </c>
    </row>
    <row r="14" spans="1:36" ht="15">
      <c r="A14" s="3300"/>
      <c r="B14" s="2760"/>
      <c r="C14" s="2761"/>
      <c r="D14" s="2762"/>
      <c r="E14" s="2762"/>
      <c r="F14" s="2763"/>
      <c r="G14" s="2764" t="s">
        <v>2880</v>
      </c>
      <c r="H14" s="2765"/>
      <c r="I14" s="2766"/>
      <c r="J14" s="2767"/>
      <c r="K14" s="1368"/>
      <c r="L14" s="1368"/>
      <c r="M14" s="1368"/>
      <c r="N14" s="1368"/>
      <c r="O14" s="1368"/>
      <c r="P14" s="1368"/>
      <c r="Q14" s="1368"/>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301"/>
      <c r="B15" s="2768" t="s">
        <v>2881</v>
      </c>
      <c r="C15" s="227">
        <f>IF(C14="有",1.1,1)</f>
        <v>1</v>
      </c>
      <c r="D15" s="227">
        <f>IF(D14="有",1.1,1)</f>
        <v>1</v>
      </c>
      <c r="E15" s="227">
        <f>IF(E14="有",1.1,1)</f>
        <v>1</v>
      </c>
      <c r="F15" s="227">
        <f>IF(F14="500米范围内",1.2,IF(F14="500-1000米",1.1,1))</f>
        <v>1</v>
      </c>
      <c r="G15" s="944">
        <v>1</v>
      </c>
      <c r="H15" s="944">
        <v>1</v>
      </c>
      <c r="I15" s="944">
        <v>1</v>
      </c>
      <c r="J15" s="945">
        <v>1</v>
      </c>
      <c r="K15" s="1368"/>
      <c r="L15" s="2769" t="s">
        <v>2817</v>
      </c>
      <c r="M15" s="915" t="s">
        <v>2882</v>
      </c>
      <c r="N15" s="915" t="s">
        <v>2883</v>
      </c>
      <c r="O15" s="915" t="s">
        <v>2884</v>
      </c>
      <c r="P15" s="2770" t="s">
        <v>2885</v>
      </c>
      <c r="Q15" s="1368"/>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
      <c r="A16" s="3282" t="s">
        <v>2886</v>
      </c>
      <c r="B16" s="2737" t="s">
        <v>2887</v>
      </c>
      <c r="C16" s="1798" t="e">
        <f>ROUND(SUM(G17:J17)/C17,0)</f>
        <v>#DIV/0!</v>
      </c>
      <c r="D16" s="2771" t="s">
        <v>2888</v>
      </c>
      <c r="E16" s="2772"/>
      <c r="F16" s="2773"/>
      <c r="G16" s="2774"/>
      <c r="H16" s="2774"/>
      <c r="I16" s="2774"/>
      <c r="J16" s="2775"/>
      <c r="K16" s="1368"/>
      <c r="L16" s="2776" t="s">
        <v>2889</v>
      </c>
      <c r="M16" s="917">
        <v>0.25</v>
      </c>
      <c r="N16" s="917">
        <v>0.2</v>
      </c>
      <c r="O16" s="917">
        <v>0.15</v>
      </c>
      <c r="P16" s="1367">
        <v>0.1</v>
      </c>
      <c r="Q16" s="1368"/>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283"/>
      <c r="B17" s="2777" t="s">
        <v>2890</v>
      </c>
      <c r="C17" s="919">
        <f>SUMPRODUCT((修正!A2:A5=E2)*(修正!B1:M1=G2)*(修正!B2:M5))</f>
        <v>0</v>
      </c>
      <c r="D17" s="2778" t="s">
        <v>2891</v>
      </c>
      <c r="E17" s="918" t="str">
        <f>IF(OR(G2="八级",G2="九级",G2="十级",G2="十一级",G2="十二级"),"五通一平","七通一平")</f>
        <v>七通一平</v>
      </c>
      <c r="F17" s="919" t="s">
        <v>2892</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79" t="s">
        <v>2893</v>
      </c>
      <c r="M17" s="209">
        <f ca="1">ROUND($E$20*(1+M16),3)</f>
        <v>5.3999999999999999E-2</v>
      </c>
      <c r="N17" s="209">
        <f ca="1">ROUND($E$20*(1+N16),3)</f>
        <v>5.1999999999999998E-2</v>
      </c>
      <c r="O17" s="209">
        <f ca="1">ROUND($E$20*(1+O16),3)</f>
        <v>0.05</v>
      </c>
      <c r="P17" s="1371">
        <f ca="1">ROUND($E$20*(1+P16),3)</f>
        <v>4.8000000000000001E-2</v>
      </c>
      <c r="Q17" s="1368"/>
      <c r="R17" s="1368"/>
      <c r="S17" s="1368"/>
      <c r="T17" s="1368"/>
      <c r="U17" s="1368"/>
      <c r="V17" s="1368"/>
      <c r="W17" s="1368"/>
      <c r="X17" s="1368"/>
      <c r="Y17" s="1368"/>
      <c r="Z17" s="1369"/>
      <c r="AE17" s="2780"/>
      <c r="AF17" s="2780"/>
      <c r="AG17" s="2712"/>
      <c r="AH17" s="2712"/>
      <c r="AI17" s="2712"/>
      <c r="AJ17" s="2712"/>
    </row>
    <row r="18" spans="1:37" s="2730" customFormat="1" ht="15.75" thickBot="1">
      <c r="A18" s="2781" t="s">
        <v>808</v>
      </c>
      <c r="B18" s="2782" t="s">
        <v>2894</v>
      </c>
      <c r="C18" s="921">
        <f>SUMIF(修正!C18:C39,E3,修正!E18:E39)</f>
        <v>0</v>
      </c>
      <c r="D18" s="2783"/>
      <c r="E18" s="2784"/>
      <c r="F18" s="2785"/>
      <c r="G18" s="2786"/>
      <c r="H18" s="2786"/>
      <c r="I18" s="2786"/>
      <c r="J18" s="2787"/>
      <c r="K18" s="1375"/>
      <c r="O18" s="1373"/>
      <c r="P18" s="1373"/>
      <c r="Q18" s="1374"/>
      <c r="R18" s="1374"/>
      <c r="S18" s="1374"/>
      <c r="T18" s="1369"/>
      <c r="U18" s="1369"/>
      <c r="V18" s="1369"/>
      <c r="W18" s="1368"/>
      <c r="X18" s="1368"/>
      <c r="Y18" s="1368"/>
      <c r="Z18" s="1375"/>
      <c r="AA18" s="1376"/>
      <c r="AB18" s="1376"/>
      <c r="AC18" s="1376"/>
      <c r="AD18" s="1376"/>
      <c r="AE18" s="1370"/>
      <c r="AF18" s="1370"/>
      <c r="AG18" s="2788"/>
      <c r="AH18" s="2788"/>
      <c r="AI18" s="2788"/>
    </row>
    <row r="19" spans="1:37" s="2730" customFormat="1" ht="27.75" thickBot="1">
      <c r="A19" s="2781" t="s">
        <v>809</v>
      </c>
      <c r="B19" s="2782" t="s">
        <v>2895</v>
      </c>
      <c r="C19" s="922" t="e">
        <f>ROUND(IF(H19="按公示增长率计算",SUMPRODUCT((地价!A3:A20=YEAR(G19)&amp;"-"&amp;ROUNDUP(MONTH(G19)/3,0))*(地价!X2:AB2=E2)*(地价!X3:AB20)),IF(H19="地价指数",M20/M19,(1+I19)^O19)),4)</f>
        <v>#DIV/0!</v>
      </c>
      <c r="D19" s="2789" t="s">
        <v>2896</v>
      </c>
      <c r="E19" s="923">
        <v>41640</v>
      </c>
      <c r="F19" s="2789" t="s">
        <v>2897</v>
      </c>
      <c r="G19" s="924">
        <f>'数据-取费表'!B2</f>
        <v>43056</v>
      </c>
      <c r="H19" s="2790" t="s">
        <v>2898</v>
      </c>
      <c r="I19" s="925" t="str">
        <f>IF(H19="季度增幅（自定义）",SUMIF(N21:N24,E2,O21:O24),"")</f>
        <v/>
      </c>
      <c r="J19" s="2787"/>
      <c r="K19" s="1375"/>
      <c r="L19" s="2791" t="s">
        <v>2899</v>
      </c>
      <c r="M19" s="1731">
        <f>ROUND(SUMIF(地价!B2:F2,E2,地价!B20:F20),0)</f>
        <v>0</v>
      </c>
      <c r="N19" s="2792" t="s">
        <v>2900</v>
      </c>
      <c r="O19" s="926">
        <f>ROUNDDOWN(DATEDIF(E19,G19,"M")/3,0)</f>
        <v>15</v>
      </c>
      <c r="P19" s="1372"/>
      <c r="Q19" s="1374"/>
      <c r="R19" s="1374"/>
      <c r="S19" s="1374"/>
      <c r="T19" s="1369"/>
      <c r="U19" s="1369"/>
      <c r="V19" s="1369"/>
      <c r="W19" s="1368"/>
      <c r="X19" s="1368"/>
      <c r="Y19" s="1368"/>
      <c r="Z19" s="1375"/>
      <c r="AA19" s="1376"/>
      <c r="AB19" s="1376"/>
      <c r="AC19" s="1376"/>
      <c r="AD19" s="1376"/>
      <c r="AE19" s="1376"/>
      <c r="AF19" s="2793"/>
      <c r="AG19" s="2794"/>
      <c r="AH19" s="2788"/>
      <c r="AI19" s="2795"/>
      <c r="AJ19" s="2795"/>
      <c r="AK19" s="2795"/>
    </row>
    <row r="20" spans="1:37" s="2730" customFormat="1" ht="27.75" thickBot="1">
      <c r="A20" s="2796" t="s">
        <v>810</v>
      </c>
      <c r="B20" s="2797" t="s">
        <v>2901</v>
      </c>
      <c r="C20" s="927" t="e">
        <f>ROUND(POWER(1+G20,J20-I20)*(POWER(1+G20,I20)-1)/(POWER(1+G20,J20)-1),4)</f>
        <v>#DIV/0!</v>
      </c>
      <c r="D20" s="2798" t="s">
        <v>2902</v>
      </c>
      <c r="E20" s="1765">
        <f ca="1">存贷款利率!D4/100</f>
        <v>4.3499999999999997E-2</v>
      </c>
      <c r="F20" s="2798" t="s">
        <v>2893</v>
      </c>
      <c r="G20" s="932">
        <f>SUMIF(M15:P15,E2,M17:P17)</f>
        <v>0</v>
      </c>
      <c r="H20" s="2798" t="s">
        <v>2903</v>
      </c>
      <c r="I20" s="933" t="e">
        <f>SUMIF('数据-取费表'!C6:C15,E2,'数据-取费表'!F6:F15)/COUNTIF('数据-取费表'!C6:C15,E2)</f>
        <v>#DIV/0!</v>
      </c>
      <c r="J20" s="934">
        <f>IF(E2="住宅",70,IF(E2="商业",40,50))</f>
        <v>50</v>
      </c>
      <c r="K20" s="1375"/>
      <c r="L20" s="2799" t="s">
        <v>2904</v>
      </c>
      <c r="M20" s="1732">
        <f>ROUND(SUMPRODUCT((地价!A5:A20=YEAR(G19)&amp;"-"&amp;ROUNDUP(MONTH(G19)/3,0))*(地价!B2:F2=E2)*(地价!B5:F20)),0)</f>
        <v>0</v>
      </c>
      <c r="N20" s="2800" t="s">
        <v>2905</v>
      </c>
      <c r="O20" s="2801" t="s">
        <v>2906</v>
      </c>
      <c r="P20" s="2802" t="s">
        <v>2907</v>
      </c>
      <c r="R20" s="1374"/>
      <c r="S20" s="1374"/>
      <c r="T20" s="1369"/>
      <c r="U20" s="1369"/>
      <c r="V20" s="1369"/>
      <c r="W20" s="1368"/>
      <c r="X20" s="1368"/>
      <c r="Y20" s="1368"/>
      <c r="Z20" s="1375"/>
      <c r="AA20" s="1376"/>
      <c r="AB20" s="1376"/>
      <c r="AC20" s="1376"/>
      <c r="AD20" s="1376"/>
      <c r="AE20" s="1376"/>
      <c r="AF20" s="1376"/>
    </row>
    <row r="21" spans="1:37" s="2730" customFormat="1" ht="15">
      <c r="A21" s="2803" t="s">
        <v>811</v>
      </c>
      <c r="B21" s="2804" t="s">
        <v>2908</v>
      </c>
      <c r="C21" s="935">
        <f>IF(B21="容积率修正",IF(G3&lt;=10,D22,J22),C23)</f>
        <v>0</v>
      </c>
      <c r="D21" s="2805"/>
      <c r="E21" s="2805"/>
      <c r="F21" s="2805"/>
      <c r="G21" s="2805"/>
      <c r="H21" s="2805"/>
      <c r="I21" s="2805"/>
      <c r="J21" s="2806"/>
      <c r="K21" s="1375"/>
      <c r="N21" s="2807" t="s">
        <v>2909</v>
      </c>
      <c r="O21" s="1559"/>
      <c r="P21" s="1560">
        <f>SUMPRODUCT((地价!A3:A20=YEAR(G19)&amp;"-"&amp;ROUNDUP(MONTH(G19)/3,0))*(地价!AD2:AH2=N21)*(地价!AD3:AH20))</f>
        <v>1.6400000000000001E-2</v>
      </c>
      <c r="R21" s="1374"/>
      <c r="S21" s="1374"/>
      <c r="T21" s="1369"/>
      <c r="U21" s="1369"/>
      <c r="V21" s="1369"/>
      <c r="W21" s="1368"/>
      <c r="X21" s="1368"/>
      <c r="Y21" s="1368"/>
      <c r="Z21" s="1375"/>
      <c r="AA21" s="1376"/>
      <c r="AB21" s="1376"/>
      <c r="AC21" s="1376"/>
      <c r="AD21" s="1376"/>
      <c r="AE21" s="1376"/>
      <c r="AF21" s="1376"/>
    </row>
    <row r="22" spans="1:37" s="2730" customFormat="1" ht="14.25">
      <c r="A22" s="2656" t="s">
        <v>2910</v>
      </c>
      <c r="B22" s="2808" t="s">
        <v>2911</v>
      </c>
      <c r="C22" s="1807" t="s">
        <v>2912</v>
      </c>
      <c r="D22" s="1807">
        <f>IF(E22=G22,F22,IF(G3&lt;=10,ROUND(F22+(H22-F22)*(G3-E22)/(G22-E22),4),"——"))</f>
        <v>0</v>
      </c>
      <c r="E22" s="911">
        <f>ROUNDDOWN(G3,1)</f>
        <v>2.5</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2.6</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6" t="str">
        <f>IF(G3&gt;10,D113,"——")</f>
        <v>——</v>
      </c>
      <c r="K22" s="1375"/>
      <c r="N22" s="2807" t="s">
        <v>2913</v>
      </c>
      <c r="O22" s="1559"/>
      <c r="P22" s="1560">
        <f>SUMPRODUCT((地价!A3:A20=YEAR(G19)&amp;"-"&amp;ROUNDUP(MONTH(G19)/3,0))*(地价!AD2:AH2=N22)*(地价!AD3:AH20))</f>
        <v>1.6400000000000001E-2</v>
      </c>
      <c r="R22" s="1374"/>
      <c r="S22" s="1374"/>
      <c r="T22" s="1369"/>
      <c r="U22" s="1369"/>
      <c r="V22" s="1369"/>
      <c r="W22" s="1368"/>
      <c r="X22" s="1368"/>
      <c r="Y22" s="1368"/>
      <c r="Z22" s="1375"/>
      <c r="AA22" s="1376"/>
      <c r="AB22" s="1376"/>
      <c r="AC22" s="1376"/>
      <c r="AD22" s="1376"/>
      <c r="AE22" s="1376"/>
      <c r="AF22" s="1376"/>
    </row>
    <row r="23" spans="1:37" ht="27.75" thickBot="1">
      <c r="A23" s="2656" t="s">
        <v>2914</v>
      </c>
      <c r="B23" s="2809" t="s">
        <v>2915</v>
      </c>
      <c r="C23" s="1011">
        <f>ROUND(IF(G3&gt;1,IF(I3&lt;7,SUMPRODUCT((B93:B98=I3)*(C92:N92=G2)*(C93:N98)),SUMIF(C92:N92,G2,C100:N100)),IF(I3&lt;7,SUMPRODUCT((B102:B107=I3)*(C92:N92=G2)*(C102:N107)),SUMIF(C92:N92,G2,C109:N109))),4)</f>
        <v>0</v>
      </c>
      <c r="D23" s="2765"/>
      <c r="E23" s="2765"/>
      <c r="F23" s="2810"/>
      <c r="G23" s="2811"/>
      <c r="H23" s="2812"/>
      <c r="I23" s="2813"/>
      <c r="J23" s="2814"/>
      <c r="K23" s="1368"/>
      <c r="N23" s="2807" t="s">
        <v>2916</v>
      </c>
      <c r="O23" s="1559"/>
      <c r="P23" s="1560">
        <f>SUMPRODUCT((地价!A3:A20=YEAR(G19)&amp;"-"&amp;ROUNDUP(MONTH(G19)/3,0))*(地价!AD2:AH2=N23)*(地价!AD3:AH20))</f>
        <v>2.7799999999999998E-2</v>
      </c>
      <c r="R23" s="1374"/>
      <c r="S23" s="1374"/>
      <c r="T23" s="1369"/>
      <c r="U23" s="1369"/>
      <c r="V23" s="1369"/>
      <c r="W23" s="1368"/>
      <c r="X23" s="1368"/>
      <c r="Y23" s="1368"/>
      <c r="Z23" s="1375"/>
      <c r="AA23" s="1376"/>
      <c r="AB23" s="1376"/>
      <c r="AC23" s="1376"/>
      <c r="AD23" s="1376"/>
      <c r="AK23" s="2788"/>
    </row>
    <row r="24" spans="1:37" s="2730" customFormat="1" ht="15.75" thickBot="1">
      <c r="A24" s="2796" t="s">
        <v>812</v>
      </c>
      <c r="B24" s="2782" t="s">
        <v>2917</v>
      </c>
      <c r="C24" s="922">
        <f>SUMIF(A45:A88,E2,B45:B88)</f>
        <v>0</v>
      </c>
      <c r="D24" s="2785"/>
      <c r="E24" s="2815"/>
      <c r="F24" s="2815"/>
      <c r="G24" s="2815"/>
      <c r="H24" s="2815"/>
      <c r="I24" s="2815"/>
      <c r="J24" s="2816"/>
      <c r="K24" s="1375"/>
      <c r="N24" s="2817" t="s">
        <v>2918</v>
      </c>
      <c r="O24" s="1561"/>
      <c r="P24" s="1562">
        <f>SUMPRODUCT((地价!A3:A20=YEAR(G19)&amp;"-"&amp;ROUNDUP(MONTH(G19)/3,0))*(地价!AD2:AH2=N24)*(地价!AD3:AH20))</f>
        <v>1.3899999999999999E-2</v>
      </c>
      <c r="R24" s="1374"/>
      <c r="S24" s="1374"/>
      <c r="T24" s="1369"/>
      <c r="U24" s="1369"/>
      <c r="V24" s="1369"/>
      <c r="W24" s="1368"/>
      <c r="X24" s="1368"/>
      <c r="Y24" s="1368"/>
      <c r="Z24" s="1375"/>
      <c r="AA24" s="1376"/>
      <c r="AB24" s="1376"/>
      <c r="AC24" s="1376"/>
      <c r="AD24" s="1376"/>
      <c r="AE24" s="1376"/>
      <c r="AF24" s="1376"/>
    </row>
    <row r="25" spans="1:37" ht="15.75" thickBot="1">
      <c r="A25" s="2796" t="s">
        <v>813</v>
      </c>
      <c r="B25" s="2818" t="s">
        <v>2919</v>
      </c>
      <c r="C25" s="928"/>
      <c r="D25" s="2740"/>
      <c r="E25" s="2740"/>
      <c r="F25" s="2819"/>
      <c r="G25" s="2740"/>
      <c r="H25" s="2740"/>
      <c r="I25" s="2740"/>
      <c r="J25" s="2741"/>
      <c r="K25" s="1368"/>
      <c r="N25" s="2820" t="s">
        <v>2920</v>
      </c>
      <c r="O25" s="1563"/>
      <c r="P25" s="1562">
        <f>SUMPRODUCT((地价!A3:A20=YEAR(G19)&amp;"-"&amp;ROUNDUP(MONTH(G19)/3,0))*(地价!AD2:AH2=N25)*(地价!AD3:AH20))</f>
        <v>2.4899999999999999E-2</v>
      </c>
      <c r="R25" s="1374"/>
      <c r="S25" s="1374"/>
      <c r="T25" s="1369"/>
      <c r="U25" s="1369"/>
      <c r="V25" s="1369"/>
      <c r="W25" s="1368"/>
      <c r="X25" s="1368"/>
      <c r="Y25" s="1368"/>
      <c r="Z25" s="1375"/>
      <c r="AA25" s="1376"/>
      <c r="AB25" s="1376"/>
      <c r="AC25" s="1376"/>
      <c r="AD25" s="1376"/>
    </row>
    <row r="26" spans="1:37" ht="15">
      <c r="A26" s="2821"/>
      <c r="B26" s="2808" t="s">
        <v>2921</v>
      </c>
      <c r="C26" s="204" t="e">
        <f>E29+SUM(E33:E39)</f>
        <v>#DIV/0!</v>
      </c>
      <c r="D26" s="2822"/>
      <c r="E26" s="2765"/>
      <c r="F26" s="2823"/>
      <c r="G26" s="2765"/>
      <c r="H26" s="2765"/>
      <c r="I26" s="2765"/>
      <c r="J26" s="2824"/>
      <c r="K26" s="1368"/>
      <c r="R26" s="1374"/>
      <c r="S26" s="1374"/>
      <c r="T26" s="1369"/>
      <c r="U26" s="1369"/>
      <c r="V26" s="1369"/>
      <c r="W26" s="1368"/>
      <c r="X26" s="1368"/>
      <c r="Y26" s="1368"/>
      <c r="Z26" s="1375"/>
      <c r="AA26" s="1376"/>
      <c r="AB26" s="1376"/>
      <c r="AC26" s="1376"/>
      <c r="AD26" s="1376"/>
    </row>
    <row r="27" spans="1:37" ht="15.75" thickBot="1">
      <c r="A27" s="2821"/>
      <c r="B27" s="2825" t="s">
        <v>2922</v>
      </c>
      <c r="C27" s="929" t="e">
        <f>E30+SUM(I33:I39)</f>
        <v>#DIV/0!</v>
      </c>
      <c r="D27" s="2826"/>
      <c r="E27" s="2827"/>
      <c r="F27" s="2828"/>
      <c r="G27" s="2827"/>
      <c r="H27" s="2827"/>
      <c r="I27" s="2827"/>
      <c r="J27" s="2829"/>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0"/>
      <c r="B28" s="2831" t="s">
        <v>2923</v>
      </c>
      <c r="C28" s="2832" t="s">
        <v>2924</v>
      </c>
      <c r="D28" s="2832" t="s">
        <v>2925</v>
      </c>
      <c r="E28" s="2833" t="s">
        <v>2926</v>
      </c>
      <c r="F28" s="2834"/>
      <c r="G28" s="2753"/>
      <c r="H28" s="2753"/>
      <c r="I28" s="2753"/>
      <c r="J28" s="2754"/>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35"/>
      <c r="B29" s="2836" t="s">
        <v>2927</v>
      </c>
      <c r="C29" s="204" t="e">
        <f>ROUND(C5*C18*C19*C20*C21*C24,0)</f>
        <v>#DIV/0!</v>
      </c>
      <c r="D29" s="2837"/>
      <c r="E29" s="940" t="e">
        <f>ROUND(C29*D29/10000,0)</f>
        <v>#DIV/0!</v>
      </c>
      <c r="F29" s="2838" t="s">
        <v>2928</v>
      </c>
      <c r="G29" s="2839"/>
      <c r="H29" s="2839"/>
      <c r="I29" s="2839"/>
      <c r="J29" s="2840"/>
      <c r="K29" s="1368"/>
      <c r="L29" s="1368"/>
      <c r="M29" s="1368"/>
      <c r="N29" s="1368"/>
      <c r="O29" s="1373"/>
      <c r="P29" s="1373"/>
      <c r="Q29" s="1374"/>
      <c r="R29" s="1374"/>
      <c r="S29" s="1374"/>
      <c r="T29" s="1369"/>
      <c r="U29" s="1369"/>
      <c r="V29" s="1369"/>
      <c r="W29" s="1368"/>
      <c r="X29" s="1368"/>
      <c r="Y29" s="1368"/>
      <c r="Z29" s="1375"/>
      <c r="AA29" s="1376"/>
      <c r="AB29" s="1376"/>
      <c r="AC29" s="1376"/>
      <c r="AD29" s="1376"/>
      <c r="AE29" s="2780"/>
      <c r="AF29" s="2780"/>
      <c r="AG29" s="2712"/>
      <c r="AH29" s="2712"/>
      <c r="AI29" s="2712"/>
      <c r="AJ29" s="2712"/>
    </row>
    <row r="30" spans="1:37" ht="25.5" thickBot="1">
      <c r="A30" s="2841"/>
      <c r="B30" s="2842" t="s">
        <v>2929</v>
      </c>
      <c r="C30" s="227" t="e">
        <f>ROUND(IF(E2="工业",C29*M39,C29*M38),0)</f>
        <v>#DIV/0!</v>
      </c>
      <c r="D30" s="2843"/>
      <c r="E30" s="940" t="e">
        <f>ROUND(C30*D30/10000,0)</f>
        <v>#DIV/0!</v>
      </c>
      <c r="F30" s="2844" t="s">
        <v>2930</v>
      </c>
      <c r="G30" s="2845"/>
      <c r="H30" s="2845"/>
      <c r="I30" s="2845"/>
      <c r="J30" s="2846"/>
      <c r="K30" s="1368"/>
      <c r="L30" s="1368"/>
      <c r="M30" s="1368"/>
      <c r="N30" s="1368"/>
      <c r="O30" s="1373"/>
      <c r="P30" s="1373"/>
      <c r="Q30" s="1374"/>
      <c r="R30" s="1374"/>
      <c r="S30" s="1374"/>
      <c r="T30" s="1369"/>
      <c r="U30" s="1369"/>
      <c r="V30" s="1369"/>
      <c r="W30" s="1368"/>
      <c r="X30" s="1368"/>
      <c r="Y30" s="1368"/>
      <c r="Z30" s="1375"/>
      <c r="AA30" s="1376"/>
      <c r="AB30" s="1376"/>
      <c r="AC30" s="1376"/>
      <c r="AD30" s="1376"/>
      <c r="AE30" s="2780"/>
      <c r="AF30" s="2780"/>
      <c r="AG30" s="2712"/>
      <c r="AH30" s="2712"/>
      <c r="AI30" s="2712"/>
      <c r="AJ30" s="2712"/>
    </row>
    <row r="31" spans="1:37" ht="14.25">
      <c r="A31" s="2847"/>
      <c r="B31" s="2848" t="s">
        <v>2931</v>
      </c>
      <c r="C31" s="2849" t="s">
        <v>2932</v>
      </c>
      <c r="D31" s="2753"/>
      <c r="E31" s="2849"/>
      <c r="F31" s="2849"/>
      <c r="G31" s="2751" t="s">
        <v>2933</v>
      </c>
      <c r="H31" s="2753"/>
      <c r="I31" s="2850"/>
      <c r="J31" s="2754"/>
      <c r="K31" s="1368"/>
      <c r="L31" s="1368"/>
      <c r="M31" s="1368"/>
      <c r="N31" s="1368"/>
      <c r="O31" s="1373"/>
      <c r="P31" s="1373"/>
      <c r="Q31" s="1374"/>
      <c r="R31" s="1374"/>
      <c r="S31" s="1374"/>
      <c r="T31" s="1369"/>
      <c r="U31" s="1369"/>
      <c r="V31" s="1369"/>
      <c r="W31" s="1368"/>
      <c r="X31" s="1368"/>
      <c r="Y31" s="1368"/>
      <c r="Z31" s="1375"/>
      <c r="AA31" s="1376"/>
      <c r="AB31" s="1376"/>
      <c r="AC31" s="1376"/>
      <c r="AD31" s="1376"/>
      <c r="AE31" s="2780"/>
      <c r="AF31" s="2780"/>
      <c r="AG31" s="2712"/>
      <c r="AH31" s="2712"/>
      <c r="AI31" s="2712"/>
      <c r="AJ31" s="2712"/>
    </row>
    <row r="32" spans="1:37" ht="24">
      <c r="A32" s="2835"/>
      <c r="B32" s="2851"/>
      <c r="C32" s="499" t="s">
        <v>2924</v>
      </c>
      <c r="D32" s="496" t="s">
        <v>2925</v>
      </c>
      <c r="E32" s="496" t="s">
        <v>2926</v>
      </c>
      <c r="F32" s="386" t="s">
        <v>2934</v>
      </c>
      <c r="G32" s="2852" t="s">
        <v>2924</v>
      </c>
      <c r="H32" s="2852" t="s">
        <v>2925</v>
      </c>
      <c r="I32" s="2852" t="s">
        <v>2926</v>
      </c>
      <c r="J32" s="285"/>
      <c r="K32" s="1368"/>
      <c r="L32" s="1368"/>
      <c r="M32" s="1368"/>
      <c r="N32" s="1368"/>
      <c r="O32" s="1373"/>
      <c r="P32" s="1373"/>
      <c r="Q32" s="1374"/>
      <c r="R32" s="1374"/>
      <c r="S32" s="1374"/>
      <c r="T32" s="1369"/>
      <c r="U32" s="1369"/>
      <c r="V32" s="1369"/>
      <c r="W32" s="1368"/>
      <c r="X32" s="1368"/>
      <c r="Y32" s="1368"/>
      <c r="Z32" s="1375"/>
      <c r="AA32" s="1376"/>
      <c r="AB32" s="1376"/>
      <c r="AC32" s="1376"/>
      <c r="AD32" s="1376"/>
      <c r="AE32" s="2780"/>
      <c r="AF32" s="2780"/>
      <c r="AG32" s="2712"/>
      <c r="AH32" s="2712"/>
      <c r="AI32" s="2712"/>
      <c r="AJ32" s="2712"/>
    </row>
    <row r="33" spans="1:37" ht="36" customHeight="1">
      <c r="A33" s="3290" t="s">
        <v>2935</v>
      </c>
      <c r="B33" s="2853" t="s">
        <v>2936</v>
      </c>
      <c r="C33" s="204" t="e">
        <f>ROUND(D5*C19*C20*C24*F33,0)</f>
        <v>#DIV/0!</v>
      </c>
      <c r="D33" s="2837"/>
      <c r="E33" s="198" t="e">
        <f>ROUND(C33*D33/10000,0)</f>
        <v>#DIV/0!</v>
      </c>
      <c r="F33" s="198">
        <f>SUMIF(修正!A45:A56,G2,修正!B45:B56)</f>
        <v>0</v>
      </c>
      <c r="G33" s="198" t="e">
        <f t="shared" ref="G33:G39" si="6">ROUND(IF(E2="工业",C33*$M$39,C33*$M$38),0)</f>
        <v>#DIV/0!</v>
      </c>
      <c r="H33" s="198">
        <f>D33</f>
        <v>0</v>
      </c>
      <c r="I33" s="198" t="e">
        <f>ROUND(G33*H33/10000,0)</f>
        <v>#DIV/0!</v>
      </c>
      <c r="J33" s="2854"/>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91"/>
      <c r="B34" s="2757" t="s">
        <v>2937</v>
      </c>
      <c r="C34" s="204" t="e">
        <f>ROUND(D5*C19*C20*C24*F34,0)</f>
        <v>#DIV/0!</v>
      </c>
      <c r="D34" s="2837"/>
      <c r="E34" s="198" t="e">
        <f t="shared" ref="E34:E39" si="7">ROUND(C34*D34/10000,0)</f>
        <v>#DIV/0!</v>
      </c>
      <c r="F34" s="198">
        <f>SUMIF(修正!A45:A56,G2,修正!C45:C56)</f>
        <v>0</v>
      </c>
      <c r="G34" s="198" t="e">
        <f t="shared" si="6"/>
        <v>#DIV/0!</v>
      </c>
      <c r="H34" s="198">
        <f t="shared" ref="H34:H39" si="8">D34</f>
        <v>0</v>
      </c>
      <c r="I34" s="198" t="e">
        <f t="shared" ref="I34:I39" si="9">ROUND(G34*H34/10000,0)</f>
        <v>#DIV/0!</v>
      </c>
      <c r="J34" s="2854"/>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91"/>
      <c r="B35" s="2757" t="s">
        <v>2938</v>
      </c>
      <c r="C35" s="204" t="e">
        <f>ROUND(D5*C19*C20*C24*F35,0)</f>
        <v>#DIV/0!</v>
      </c>
      <c r="D35" s="2837"/>
      <c r="E35" s="198" t="e">
        <f t="shared" si="7"/>
        <v>#DIV/0!</v>
      </c>
      <c r="F35" s="198">
        <f>SUMIF(修正!A45:A56,G2,修正!D45:D56)</f>
        <v>0</v>
      </c>
      <c r="G35" s="198" t="e">
        <f t="shared" si="6"/>
        <v>#DIV/0!</v>
      </c>
      <c r="H35" s="198">
        <f t="shared" si="8"/>
        <v>0</v>
      </c>
      <c r="I35" s="198" t="e">
        <f t="shared" si="9"/>
        <v>#DIV/0!</v>
      </c>
      <c r="J35" s="2854"/>
      <c r="K35" s="1368"/>
      <c r="L35" s="1368"/>
      <c r="M35" s="1368"/>
      <c r="N35" s="1368"/>
      <c r="O35" s="1368"/>
      <c r="P35" s="1368"/>
      <c r="Q35" s="1368"/>
      <c r="R35" s="1368"/>
      <c r="S35" s="1368"/>
      <c r="T35" s="1368"/>
      <c r="U35" s="1368"/>
      <c r="V35" s="1368"/>
      <c r="W35" s="1368"/>
      <c r="X35" s="1368"/>
      <c r="Y35" s="1368"/>
      <c r="Z35" s="1369"/>
    </row>
    <row r="36" spans="1:37" ht="13.5" thickBot="1">
      <c r="A36" s="3292"/>
      <c r="B36" s="2757" t="s">
        <v>2939</v>
      </c>
      <c r="C36" s="204" t="e">
        <f>ROUND(D5*C19*C20*C24*F36,0)</f>
        <v>#DIV/0!</v>
      </c>
      <c r="D36" s="2837"/>
      <c r="E36" s="198" t="e">
        <f t="shared" si="7"/>
        <v>#DIV/0!</v>
      </c>
      <c r="F36" s="198">
        <f>SUMIF(修正!A45:A56,G2,修正!E45:E56)</f>
        <v>0</v>
      </c>
      <c r="G36" s="198" t="e">
        <f t="shared" si="6"/>
        <v>#DIV/0!</v>
      </c>
      <c r="H36" s="198">
        <f t="shared" si="8"/>
        <v>0</v>
      </c>
      <c r="I36" s="198" t="e">
        <f t="shared" si="9"/>
        <v>#DIV/0!</v>
      </c>
      <c r="J36" s="2854"/>
      <c r="K36" s="1368"/>
      <c r="L36" s="2711"/>
      <c r="M36" s="2711"/>
      <c r="N36" s="1368"/>
      <c r="O36" s="1368"/>
      <c r="P36" s="1368"/>
      <c r="Q36" s="1368"/>
      <c r="R36" s="1368"/>
      <c r="S36" s="1368"/>
      <c r="T36" s="1368"/>
      <c r="U36" s="1368"/>
      <c r="V36" s="1368"/>
      <c r="W36" s="1368"/>
      <c r="X36" s="1368"/>
      <c r="Y36" s="1368"/>
      <c r="Z36" s="1369"/>
    </row>
    <row r="37" spans="1:37">
      <c r="A37" s="2855"/>
      <c r="B37" s="2757" t="s">
        <v>2940</v>
      </c>
      <c r="C37" s="198" t="e">
        <f>ROUND(C5*C19*C20*C24*F37,0)</f>
        <v>#DIV/0!</v>
      </c>
      <c r="D37" s="2837"/>
      <c r="E37" s="198" t="e">
        <f t="shared" si="7"/>
        <v>#DIV/0!</v>
      </c>
      <c r="F37" s="204">
        <f>SUMIF(修正!A45:A56,G2,修正!F45:F56)</f>
        <v>0</v>
      </c>
      <c r="G37" s="198" t="e">
        <f t="shared" si="6"/>
        <v>#DIV/0!</v>
      </c>
      <c r="H37" s="198">
        <f t="shared" si="8"/>
        <v>0</v>
      </c>
      <c r="I37" s="198" t="e">
        <f t="shared" si="9"/>
        <v>#DIV/0!</v>
      </c>
      <c r="J37" s="2854"/>
      <c r="K37" s="1368"/>
      <c r="L37" s="2856" t="s">
        <v>2941</v>
      </c>
      <c r="M37" s="2857"/>
      <c r="N37" s="1368"/>
      <c r="O37" s="1368"/>
      <c r="P37" s="1368"/>
      <c r="Q37" s="1368"/>
      <c r="R37" s="1368"/>
      <c r="S37" s="1368"/>
      <c r="T37" s="1368"/>
      <c r="U37" s="1368"/>
      <c r="V37" s="1368"/>
      <c r="W37" s="1368"/>
      <c r="X37" s="1368"/>
      <c r="Y37" s="1368"/>
      <c r="Z37" s="1369"/>
    </row>
    <row r="38" spans="1:37">
      <c r="A38" s="2855"/>
      <c r="B38" s="2757" t="s">
        <v>2942</v>
      </c>
      <c r="C38" s="198" t="e">
        <f>ROUND(C5*C19*C20*C24*F38,0)</f>
        <v>#DIV/0!</v>
      </c>
      <c r="D38" s="2837"/>
      <c r="E38" s="198" t="e">
        <f t="shared" si="7"/>
        <v>#DIV/0!</v>
      </c>
      <c r="F38" s="204">
        <f>SUMIF(修正!A45:A56,G2,修正!G45:G56)</f>
        <v>0</v>
      </c>
      <c r="G38" s="198" t="e">
        <f t="shared" si="6"/>
        <v>#DIV/0!</v>
      </c>
      <c r="H38" s="198">
        <f t="shared" si="8"/>
        <v>0</v>
      </c>
      <c r="I38" s="198" t="e">
        <f t="shared" si="9"/>
        <v>#DIV/0!</v>
      </c>
      <c r="J38" s="2854"/>
      <c r="K38" s="1368"/>
      <c r="L38" s="1884" t="s">
        <v>2943</v>
      </c>
      <c r="M38" s="2858">
        <v>0.25</v>
      </c>
      <c r="N38" s="1368"/>
      <c r="O38" s="1368"/>
      <c r="P38" s="1368"/>
      <c r="Q38" s="1368"/>
      <c r="R38" s="1368"/>
      <c r="S38" s="1368"/>
      <c r="T38" s="1368"/>
      <c r="U38" s="1368"/>
      <c r="V38" s="1368"/>
      <c r="W38" s="1368"/>
      <c r="X38" s="1368"/>
      <c r="Y38" s="1368"/>
      <c r="Z38" s="1369"/>
    </row>
    <row r="39" spans="1:37" ht="13.5" thickBot="1">
      <c r="A39" s="2841"/>
      <c r="B39" s="2859" t="s">
        <v>2944</v>
      </c>
      <c r="C39" s="227" t="e">
        <f>ROUND(C5*C19*C20*C24*F39,0)</f>
        <v>#DIV/0!</v>
      </c>
      <c r="D39" s="2843"/>
      <c r="E39" s="227" t="e">
        <f t="shared" si="7"/>
        <v>#DIV/0!</v>
      </c>
      <c r="F39" s="930">
        <f>SUMIF(修正!A45:A56,G2,修正!H45:H56)</f>
        <v>0</v>
      </c>
      <c r="G39" s="227" t="e">
        <f t="shared" si="6"/>
        <v>#DIV/0!</v>
      </c>
      <c r="H39" s="227">
        <f t="shared" si="8"/>
        <v>0</v>
      </c>
      <c r="I39" s="227" t="e">
        <f t="shared" si="9"/>
        <v>#DIV/0!</v>
      </c>
      <c r="J39" s="2860"/>
      <c r="K39" s="1368"/>
      <c r="L39" s="2861" t="s">
        <v>2885</v>
      </c>
      <c r="M39" s="2862">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3"/>
      <c r="Z41" s="1369"/>
      <c r="AA41" s="1369"/>
      <c r="AB41" s="1369"/>
      <c r="AC41" s="1369"/>
      <c r="AD41" s="1369"/>
      <c r="AE41" s="1369"/>
      <c r="AF41" s="1369"/>
      <c r="AG41" s="1369"/>
      <c r="AH41" s="1369"/>
      <c r="AI41" s="1369"/>
      <c r="AJ41" s="1369"/>
    </row>
    <row r="42" spans="1:37" s="1368" customFormat="1">
      <c r="A42" s="1369"/>
      <c r="B42" s="2863"/>
      <c r="Z42" s="1369"/>
      <c r="AA42" s="1369"/>
      <c r="AB42" s="1369"/>
      <c r="AC42" s="1369"/>
      <c r="AD42" s="1369"/>
      <c r="AE42" s="1369"/>
      <c r="AF42" s="1369"/>
      <c r="AG42" s="1369"/>
      <c r="AH42" s="1369"/>
      <c r="AI42" s="1369"/>
      <c r="AJ42" s="1369"/>
    </row>
    <row r="43" spans="1:37" s="1368" customFormat="1">
      <c r="A43" s="1369"/>
      <c r="B43" s="2863"/>
      <c r="Z43" s="1369"/>
      <c r="AA43" s="1369"/>
      <c r="AB43" s="1369"/>
      <c r="AC43" s="1369"/>
      <c r="AD43" s="1369"/>
      <c r="AE43" s="1369"/>
      <c r="AF43" s="1369"/>
      <c r="AG43" s="1369"/>
      <c r="AH43" s="1369"/>
      <c r="AI43" s="1369"/>
      <c r="AJ43" s="1369"/>
    </row>
    <row r="44" spans="1:37" s="1368" customFormat="1">
      <c r="A44" s="1369"/>
      <c r="B44" s="2863"/>
      <c r="Z44" s="1369"/>
      <c r="AA44" s="1369"/>
      <c r="AB44" s="1369"/>
      <c r="AC44" s="1369"/>
      <c r="AD44" s="1369"/>
      <c r="AE44" s="1369"/>
      <c r="AF44" s="1369"/>
      <c r="AG44" s="1369"/>
      <c r="AH44" s="1369"/>
      <c r="AI44" s="1369"/>
      <c r="AJ44" s="1369"/>
    </row>
    <row r="45" spans="1:37" s="1368" customFormat="1" ht="15.75" thickBot="1">
      <c r="A45" s="2864" t="s">
        <v>2945</v>
      </c>
      <c r="B45" s="2865"/>
      <c r="C45" s="7"/>
      <c r="D45" s="7"/>
      <c r="E45" s="7"/>
      <c r="F45" s="6"/>
      <c r="G45" s="6"/>
      <c r="H45" s="6"/>
      <c r="I45" s="7"/>
      <c r="J45" s="7"/>
      <c r="K45" s="7"/>
      <c r="L45" s="7"/>
      <c r="M45" s="7"/>
      <c r="N45" s="2780"/>
      <c r="Z45" s="1369"/>
      <c r="AA45" s="1369"/>
      <c r="AB45" s="1369"/>
      <c r="AC45" s="1369"/>
      <c r="AD45" s="1369"/>
      <c r="AE45" s="1369"/>
      <c r="AF45" s="1369"/>
      <c r="AG45" s="1369"/>
      <c r="AH45" s="1369"/>
      <c r="AI45" s="1369"/>
      <c r="AJ45" s="1369"/>
    </row>
    <row r="46" spans="1:37" s="1368" customFormat="1" ht="15">
      <c r="A46" s="2866" t="s">
        <v>2946</v>
      </c>
      <c r="B46" s="2867">
        <f>1+E48</f>
        <v>1</v>
      </c>
      <c r="C46" s="2868"/>
      <c r="D46" s="809"/>
      <c r="E46" s="810"/>
      <c r="F46" s="2869"/>
      <c r="G46" s="6"/>
      <c r="H46" s="7"/>
      <c r="I46" s="7"/>
      <c r="J46" s="7"/>
      <c r="K46" s="7"/>
      <c r="L46" s="7"/>
      <c r="M46" s="7"/>
      <c r="N46" s="2780"/>
      <c r="Z46" s="1369"/>
      <c r="AA46" s="1369"/>
      <c r="AB46" s="1369"/>
      <c r="AC46" s="1369"/>
      <c r="AD46" s="1369"/>
      <c r="AE46" s="1369"/>
      <c r="AF46" s="1369"/>
      <c r="AG46" s="1369"/>
      <c r="AH46" s="1369"/>
      <c r="AI46" s="1369"/>
      <c r="AJ46" s="1369"/>
    </row>
    <row r="47" spans="1:37" s="1368" customFormat="1" ht="24.75">
      <c r="A47" s="2870" t="s">
        <v>2947</v>
      </c>
      <c r="B47" s="1806" t="s">
        <v>2948</v>
      </c>
      <c r="C47" s="1806" t="s">
        <v>2949</v>
      </c>
      <c r="D47" s="1806" t="s">
        <v>2950</v>
      </c>
      <c r="E47" s="814" t="s">
        <v>2951</v>
      </c>
      <c r="F47" s="2871" t="s">
        <v>2952</v>
      </c>
      <c r="G47" s="1806" t="s">
        <v>754</v>
      </c>
      <c r="H47" s="2872" t="s">
        <v>2953</v>
      </c>
      <c r="I47" s="1806" t="s">
        <v>2954</v>
      </c>
      <c r="J47" s="601" t="s">
        <v>2600</v>
      </c>
      <c r="K47" s="601" t="s">
        <v>2601</v>
      </c>
      <c r="L47" s="601" t="s">
        <v>2602</v>
      </c>
      <c r="M47" s="601" t="s">
        <v>2603</v>
      </c>
      <c r="N47" s="601" t="s">
        <v>2604</v>
      </c>
      <c r="AA47" s="1369"/>
      <c r="AB47" s="1369"/>
      <c r="AC47" s="1369"/>
      <c r="AD47" s="1369"/>
      <c r="AE47" s="1369"/>
      <c r="AF47" s="1369"/>
      <c r="AG47" s="1369"/>
      <c r="AH47" s="1369"/>
      <c r="AI47" s="1369"/>
      <c r="AJ47" s="1369"/>
      <c r="AK47" s="1369"/>
    </row>
    <row r="48" spans="1:37" s="1368" customFormat="1" ht="38.25">
      <c r="A48" s="2870" t="s">
        <v>2955</v>
      </c>
      <c r="B48" s="2873" t="str">
        <f>估价对象房地状况!C4</f>
        <v>估价对象位于XX商圈，周边商业氛围成熟，人流量大，商业繁华度好</v>
      </c>
      <c r="C48" s="2762"/>
      <c r="D48" s="1284">
        <f t="shared" ref="D48:D56" si="10">SUMIF($J$47:$N$47,C48,J48:N48)</f>
        <v>0</v>
      </c>
      <c r="E48" s="816">
        <f>ROUND(SUM(D48:D56),4)</f>
        <v>0</v>
      </c>
      <c r="F48" s="2496"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70" t="s">
        <v>2956</v>
      </c>
      <c r="B49" s="2874" t="str">
        <f>估价对象房地状况!C18</f>
        <v>估价对象周边道路状况、公共交通通达情况、停车便捷程度，综合评价交通便捷度较好</v>
      </c>
      <c r="C49" s="2762"/>
      <c r="D49" s="1284">
        <f t="shared" si="10"/>
        <v>0</v>
      </c>
      <c r="E49" s="817"/>
      <c r="F49" s="2496"/>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0" t="s">
        <v>2957</v>
      </c>
      <c r="B50" s="2874">
        <f>估价对象房地状况!C19</f>
        <v>0</v>
      </c>
      <c r="C50" s="2762"/>
      <c r="D50" s="1284">
        <f t="shared" si="10"/>
        <v>0</v>
      </c>
      <c r="E50" s="817"/>
      <c r="F50" s="2496"/>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0" t="s">
        <v>2958</v>
      </c>
      <c r="B51" s="2875" t="s">
        <v>2959</v>
      </c>
      <c r="C51" s="2762"/>
      <c r="D51" s="1284">
        <f t="shared" si="10"/>
        <v>0</v>
      </c>
      <c r="E51" s="817"/>
      <c r="F51" s="2496"/>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0" t="s">
        <v>2960</v>
      </c>
      <c r="B52" s="2874">
        <f>估价对象房地状况!C24</f>
        <v>0</v>
      </c>
      <c r="C52" s="2762"/>
      <c r="D52" s="1284">
        <f t="shared" si="10"/>
        <v>0</v>
      </c>
      <c r="E52" s="817"/>
      <c r="F52" s="2496"/>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0" t="s">
        <v>2961</v>
      </c>
      <c r="B53" s="2876" t="s">
        <v>2962</v>
      </c>
      <c r="C53" s="2762"/>
      <c r="D53" s="1284">
        <f t="shared" si="10"/>
        <v>0</v>
      </c>
      <c r="E53" s="817"/>
      <c r="F53" s="2496"/>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77" t="s">
        <v>2963</v>
      </c>
      <c r="B54" s="1722" t="str">
        <f>估价对象房地状况!C21</f>
        <v>估价对象所在区域公共配套设施齐备情况</v>
      </c>
      <c r="C54" s="2762"/>
      <c r="D54" s="1284">
        <f t="shared" si="10"/>
        <v>0</v>
      </c>
      <c r="E54" s="817"/>
      <c r="F54" s="2496"/>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77" t="s">
        <v>2964</v>
      </c>
      <c r="B55" s="2874" t="str">
        <f>估价对象房地状况!C22</f>
        <v>估价对象所在区域基础设施水平</v>
      </c>
      <c r="C55" s="2762"/>
      <c r="D55" s="1284">
        <f t="shared" si="10"/>
        <v>0</v>
      </c>
      <c r="E55" s="817"/>
      <c r="F55" s="2496"/>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78" t="s">
        <v>2965</v>
      </c>
      <c r="B56" s="2879" t="str">
        <f>估价对象房地状况!C20</f>
        <v>区域自然环境：；人文环境；综合评价环境状况一般</v>
      </c>
      <c r="C56" s="2762"/>
      <c r="D56" s="1284">
        <f t="shared" si="10"/>
        <v>0</v>
      </c>
      <c r="E56" s="820"/>
      <c r="F56" s="2496"/>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6" t="s">
        <v>2966</v>
      </c>
      <c r="B57" s="2867">
        <f>1+E59</f>
        <v>1</v>
      </c>
      <c r="C57" s="809"/>
      <c r="D57" s="809"/>
      <c r="E57" s="810"/>
      <c r="F57" s="2869"/>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0" t="s">
        <v>2947</v>
      </c>
      <c r="B58" s="1806"/>
      <c r="C58" s="1806" t="s">
        <v>2949</v>
      </c>
      <c r="D58" s="1806" t="s">
        <v>2950</v>
      </c>
      <c r="E58" s="814" t="s">
        <v>2951</v>
      </c>
      <c r="F58" s="2871" t="s">
        <v>2967</v>
      </c>
      <c r="G58" s="1806" t="s">
        <v>754</v>
      </c>
      <c r="H58" s="2872" t="s">
        <v>2953</v>
      </c>
      <c r="I58" s="1806" t="s">
        <v>2954</v>
      </c>
      <c r="J58" s="601" t="s">
        <v>2600</v>
      </c>
      <c r="K58" s="601" t="s">
        <v>2601</v>
      </c>
      <c r="L58" s="601" t="s">
        <v>2602</v>
      </c>
      <c r="M58" s="601" t="s">
        <v>2603</v>
      </c>
      <c r="N58" s="601" t="s">
        <v>2604</v>
      </c>
      <c r="AA58" s="1369"/>
      <c r="AB58" s="1369"/>
      <c r="AC58" s="1369"/>
      <c r="AD58" s="1369"/>
      <c r="AE58" s="1369"/>
      <c r="AF58" s="1369"/>
      <c r="AG58" s="1369"/>
      <c r="AH58" s="1369"/>
      <c r="AI58" s="1369"/>
      <c r="AJ58" s="1369"/>
      <c r="AK58" s="1369"/>
    </row>
    <row r="59" spans="1:37" s="1368" customFormat="1" ht="38.25">
      <c r="A59" s="2870" t="s">
        <v>2968</v>
      </c>
      <c r="B59" s="2873" t="str">
        <f>估价对象房地状况!C17</f>
        <v>估价对象位于XX商圈，周边办公楼项目较多，入驻率高，办公集聚程度较好</v>
      </c>
      <c r="C59" s="2762"/>
      <c r="D59" s="1284">
        <f t="shared" ref="D59:D67" si="15">SUMIF($J$58:$N$58,C59,J59:N59)</f>
        <v>0</v>
      </c>
      <c r="E59" s="816">
        <f>ROUND(SUM(D59:D67),4)</f>
        <v>0</v>
      </c>
      <c r="F59" s="2496"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70" t="s">
        <v>2956</v>
      </c>
      <c r="B60" s="2874" t="str">
        <f>估价对象房地状况!C18</f>
        <v>估价对象周边道路状况、公共交通通达情况、停车便捷程度，综合评价交通便捷度较好</v>
      </c>
      <c r="C60" s="2762"/>
      <c r="D60" s="1284">
        <f t="shared" si="15"/>
        <v>0</v>
      </c>
      <c r="E60" s="817"/>
      <c r="F60" s="2496"/>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0" t="s">
        <v>2957</v>
      </c>
      <c r="B61" s="2874">
        <f>估价对象房地状况!C19</f>
        <v>0</v>
      </c>
      <c r="C61" s="2762"/>
      <c r="D61" s="1284">
        <f t="shared" si="15"/>
        <v>0</v>
      </c>
      <c r="E61" s="817"/>
      <c r="F61" s="2496"/>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0" t="s">
        <v>2958</v>
      </c>
      <c r="B62" s="2875" t="s">
        <v>2959</v>
      </c>
      <c r="C62" s="2762"/>
      <c r="D62" s="1284">
        <f t="shared" si="15"/>
        <v>0</v>
      </c>
      <c r="E62" s="817"/>
      <c r="F62" s="2496"/>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0" t="s">
        <v>2960</v>
      </c>
      <c r="B63" s="2874">
        <f>估价对象房地状况!C24</f>
        <v>0</v>
      </c>
      <c r="C63" s="2762"/>
      <c r="D63" s="1284">
        <f t="shared" si="15"/>
        <v>0</v>
      </c>
      <c r="E63" s="817"/>
      <c r="F63" s="2496"/>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0" t="s">
        <v>2961</v>
      </c>
      <c r="B64" s="2876" t="s">
        <v>2962</v>
      </c>
      <c r="C64" s="2762"/>
      <c r="D64" s="1284">
        <f t="shared" si="15"/>
        <v>0</v>
      </c>
      <c r="E64" s="817"/>
      <c r="F64" s="2496"/>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0" t="s">
        <v>2963</v>
      </c>
      <c r="B65" s="1722" t="str">
        <f>估价对象房地状况!C21</f>
        <v>估价对象所在区域公共配套设施齐备情况</v>
      </c>
      <c r="C65" s="2762"/>
      <c r="D65" s="1284">
        <f t="shared" si="15"/>
        <v>0</v>
      </c>
      <c r="E65" s="817"/>
      <c r="F65" s="2496"/>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0" t="s">
        <v>2964</v>
      </c>
      <c r="B66" s="1722" t="str">
        <f>估价对象房地状况!C22</f>
        <v>估价对象所在区域基础设施水平</v>
      </c>
      <c r="C66" s="2762"/>
      <c r="D66" s="1284">
        <f t="shared" si="15"/>
        <v>0</v>
      </c>
      <c r="E66" s="817"/>
      <c r="F66" s="2496"/>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78" t="s">
        <v>2965</v>
      </c>
      <c r="B67" s="2880" t="str">
        <f>估价对象房地状况!C20</f>
        <v>区域自然环境：；人文环境；综合评价环境状况一般</v>
      </c>
      <c r="C67" s="2762"/>
      <c r="D67" s="1284">
        <f t="shared" si="15"/>
        <v>0</v>
      </c>
      <c r="E67" s="820"/>
      <c r="F67" s="2496"/>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6" t="s">
        <v>2969</v>
      </c>
      <c r="B68" s="2867">
        <f>1+E70</f>
        <v>1</v>
      </c>
      <c r="C68" s="809"/>
      <c r="D68" s="809"/>
      <c r="E68" s="810"/>
      <c r="F68" s="2869"/>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0" t="s">
        <v>2947</v>
      </c>
      <c r="B69" s="1806"/>
      <c r="C69" s="1806" t="s">
        <v>2949</v>
      </c>
      <c r="D69" s="1806" t="s">
        <v>2950</v>
      </c>
      <c r="E69" s="814" t="s">
        <v>2951</v>
      </c>
      <c r="F69" s="2871" t="s">
        <v>2967</v>
      </c>
      <c r="G69" s="1806" t="s">
        <v>754</v>
      </c>
      <c r="H69" s="2872" t="s">
        <v>2953</v>
      </c>
      <c r="I69" s="1806" t="s">
        <v>2954</v>
      </c>
      <c r="J69" s="601" t="s">
        <v>2600</v>
      </c>
      <c r="K69" s="601" t="s">
        <v>2601</v>
      </c>
      <c r="L69" s="601" t="s">
        <v>2602</v>
      </c>
      <c r="M69" s="601" t="s">
        <v>2603</v>
      </c>
      <c r="N69" s="601" t="s">
        <v>2604</v>
      </c>
      <c r="AA69" s="1369"/>
      <c r="AB69" s="1369"/>
      <c r="AC69" s="1369"/>
      <c r="AD69" s="1369"/>
      <c r="AE69" s="1369"/>
      <c r="AF69" s="1369"/>
      <c r="AG69" s="1369"/>
      <c r="AH69" s="1369"/>
      <c r="AI69" s="1369"/>
      <c r="AJ69" s="1369"/>
      <c r="AK69" s="1369"/>
    </row>
    <row r="70" spans="1:37" s="1368" customFormat="1" ht="51">
      <c r="A70" s="2870" t="s">
        <v>2970</v>
      </c>
      <c r="B70" s="2873" t="str">
        <f>估价对象房地状况!C15</f>
        <v>估价对象周边居住用地比例、居住小区规模和社区发展完善程度，综合评价居住社区成熟度一般</v>
      </c>
      <c r="C70" s="2762"/>
      <c r="D70" s="1284">
        <f t="shared" ref="D70:D78" si="20">SUMIF($J$69:$N$69,C70,J70:N70)</f>
        <v>0</v>
      </c>
      <c r="E70" s="816">
        <f>ROUND(SUM(D70:D78),4)</f>
        <v>0</v>
      </c>
      <c r="F70" s="2496"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0" t="s">
        <v>2956</v>
      </c>
      <c r="B71" s="2874" t="str">
        <f>估价对象房地状况!C18</f>
        <v>估价对象周边道路状况、公共交通通达情况、停车便捷程度，综合评价交通便捷度较好</v>
      </c>
      <c r="C71" s="2762"/>
      <c r="D71" s="1284">
        <f t="shared" si="20"/>
        <v>0</v>
      </c>
      <c r="E71" s="821"/>
      <c r="F71" s="2496"/>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0" t="s">
        <v>2957</v>
      </c>
      <c r="B72" s="2874">
        <f>估价对象房地状况!C19</f>
        <v>0</v>
      </c>
      <c r="C72" s="2762"/>
      <c r="D72" s="1284">
        <f t="shared" si="20"/>
        <v>0</v>
      </c>
      <c r="E72" s="821"/>
      <c r="F72" s="2496"/>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0" t="s">
        <v>2971</v>
      </c>
      <c r="B73" s="2874">
        <f>估价对象房地状况!C24</f>
        <v>0</v>
      </c>
      <c r="C73" s="2762"/>
      <c r="D73" s="1284">
        <f t="shared" si="20"/>
        <v>0</v>
      </c>
      <c r="E73" s="821"/>
      <c r="F73" s="2496"/>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0" t="s">
        <v>2963</v>
      </c>
      <c r="B74" s="1722" t="str">
        <f>估价对象房地状况!C21</f>
        <v>估价对象所在区域公共配套设施齐备情况</v>
      </c>
      <c r="C74" s="2762"/>
      <c r="D74" s="1284">
        <f t="shared" si="20"/>
        <v>0</v>
      </c>
      <c r="E74" s="821"/>
      <c r="F74" s="2496"/>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0" t="s">
        <v>2964</v>
      </c>
      <c r="B75" s="1722" t="str">
        <f>估价对象房地状况!C22</f>
        <v>估价对象所在区域基础设施水平</v>
      </c>
      <c r="C75" s="2762"/>
      <c r="D75" s="1284">
        <f t="shared" si="20"/>
        <v>0</v>
      </c>
      <c r="E75" s="821"/>
      <c r="F75" s="2496"/>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1" customFormat="1" ht="24">
      <c r="A76" s="2870" t="s">
        <v>2961</v>
      </c>
      <c r="B76" s="2876" t="s">
        <v>2962</v>
      </c>
      <c r="C76" s="2762"/>
      <c r="D76" s="1284">
        <f t="shared" si="20"/>
        <v>0</v>
      </c>
      <c r="E76" s="821"/>
      <c r="F76" s="2496"/>
      <c r="G76" s="1282"/>
      <c r="H76" s="1286" t="str">
        <f t="shared" si="21"/>
        <v>——</v>
      </c>
      <c r="I76" s="815">
        <v>0.05</v>
      </c>
      <c r="J76" s="1283">
        <f t="shared" si="22"/>
        <v>0</v>
      </c>
      <c r="K76" s="1283">
        <f t="shared" si="23"/>
        <v>0</v>
      </c>
      <c r="L76" s="1283">
        <v>0</v>
      </c>
      <c r="M76" s="1283">
        <f t="shared" si="24"/>
        <v>0</v>
      </c>
      <c r="N76" s="1283">
        <f t="shared" si="24"/>
        <v>0</v>
      </c>
      <c r="AA76" s="2881"/>
      <c r="AB76" s="1369"/>
      <c r="AC76" s="1369"/>
      <c r="AD76" s="1369"/>
      <c r="AE76" s="1369"/>
      <c r="AF76" s="1369"/>
      <c r="AG76" s="1369"/>
      <c r="AH76" s="2881"/>
      <c r="AI76" s="2881"/>
      <c r="AJ76" s="2881"/>
      <c r="AK76" s="2881"/>
    </row>
    <row r="77" spans="1:37" ht="38.25">
      <c r="A77" s="2870" t="s">
        <v>2965</v>
      </c>
      <c r="B77" s="2873" t="str">
        <f>估价对象房地状况!C20</f>
        <v>区域自然环境：；人文环境；综合评价环境状况一般</v>
      </c>
      <c r="C77" s="2762"/>
      <c r="D77" s="1284">
        <f t="shared" si="20"/>
        <v>0</v>
      </c>
      <c r="E77" s="821"/>
      <c r="F77" s="2496"/>
      <c r="G77" s="1282"/>
      <c r="H77" s="1286" t="str">
        <f t="shared" si="21"/>
        <v>——</v>
      </c>
      <c r="I77" s="815">
        <v>0.15</v>
      </c>
      <c r="J77" s="1283">
        <f t="shared" si="22"/>
        <v>0</v>
      </c>
      <c r="K77" s="1283">
        <f t="shared" si="23"/>
        <v>0</v>
      </c>
      <c r="L77" s="1283">
        <v>0</v>
      </c>
      <c r="M77" s="1283">
        <f t="shared" si="24"/>
        <v>0</v>
      </c>
      <c r="N77" s="1283">
        <f t="shared" si="24"/>
        <v>0</v>
      </c>
      <c r="Z77" s="2712"/>
      <c r="AA77" s="2788"/>
      <c r="AG77" s="1370"/>
      <c r="AK77" s="2788"/>
    </row>
    <row r="78" spans="1:37" ht="24.75" thickBot="1">
      <c r="A78" s="2878" t="s">
        <v>2972</v>
      </c>
      <c r="B78" s="2882"/>
      <c r="C78" s="2762"/>
      <c r="D78" s="1284">
        <f t="shared" si="20"/>
        <v>0</v>
      </c>
      <c r="E78" s="822"/>
      <c r="F78" s="2496"/>
      <c r="G78" s="1282"/>
      <c r="H78" s="1286" t="str">
        <f t="shared" si="21"/>
        <v>——</v>
      </c>
      <c r="I78" s="819">
        <v>0.04</v>
      </c>
      <c r="J78" s="1283">
        <f t="shared" si="22"/>
        <v>0</v>
      </c>
      <c r="K78" s="1283">
        <f t="shared" si="23"/>
        <v>0</v>
      </c>
      <c r="L78" s="1283">
        <v>0</v>
      </c>
      <c r="M78" s="1283">
        <f t="shared" si="24"/>
        <v>0</v>
      </c>
      <c r="N78" s="1283">
        <f t="shared" si="24"/>
        <v>0</v>
      </c>
      <c r="Z78" s="2712"/>
      <c r="AA78" s="2788"/>
      <c r="AG78" s="1370"/>
      <c r="AK78" s="2788"/>
    </row>
    <row r="79" spans="1:37" ht="15">
      <c r="A79" s="2866" t="s">
        <v>2973</v>
      </c>
      <c r="B79" s="2867">
        <f>1+E81</f>
        <v>1</v>
      </c>
      <c r="C79" s="809"/>
      <c r="D79" s="809"/>
      <c r="E79" s="810"/>
      <c r="F79" s="2869"/>
      <c r="G79" s="6"/>
      <c r="H79" s="6"/>
      <c r="I79" s="6"/>
      <c r="J79" s="7"/>
      <c r="K79" s="7"/>
      <c r="L79" s="7"/>
      <c r="M79" s="7"/>
      <c r="N79" s="7"/>
      <c r="Z79" s="2712"/>
      <c r="AA79" s="2788"/>
      <c r="AG79" s="1370"/>
      <c r="AK79" s="2788"/>
    </row>
    <row r="80" spans="1:37" ht="24.75">
      <c r="A80" s="2870" t="s">
        <v>2947</v>
      </c>
      <c r="B80" s="1806"/>
      <c r="C80" s="1806" t="s">
        <v>2949</v>
      </c>
      <c r="D80" s="1806" t="s">
        <v>2950</v>
      </c>
      <c r="E80" s="814" t="s">
        <v>2951</v>
      </c>
      <c r="F80" s="2871" t="s">
        <v>2967</v>
      </c>
      <c r="G80" s="1806" t="s">
        <v>754</v>
      </c>
      <c r="H80" s="2872" t="s">
        <v>2953</v>
      </c>
      <c r="I80" s="1806" t="s">
        <v>2954</v>
      </c>
      <c r="J80" s="601" t="s">
        <v>2600</v>
      </c>
      <c r="K80" s="601" t="s">
        <v>2601</v>
      </c>
      <c r="L80" s="601" t="s">
        <v>2602</v>
      </c>
      <c r="M80" s="601" t="s">
        <v>2603</v>
      </c>
      <c r="N80" s="601" t="s">
        <v>2604</v>
      </c>
      <c r="Z80" s="2712"/>
      <c r="AA80" s="2788"/>
      <c r="AG80" s="1370"/>
      <c r="AK80" s="2788"/>
    </row>
    <row r="81" spans="1:37" ht="38.25">
      <c r="A81" s="2870" t="s">
        <v>2974</v>
      </c>
      <c r="B81" s="2874" t="str">
        <f>估价对象房地状况!G15</f>
        <v>估价对象位于XX开发区，园区建设成熟度XX，产业集聚程度XX</v>
      </c>
      <c r="C81" s="2762"/>
      <c r="D81" s="1284">
        <f t="shared" ref="D81:D88" si="25">SUMIF($J$80:$N$80,C81,J81:N81)</f>
        <v>0</v>
      </c>
      <c r="E81" s="816">
        <f>ROUND(SUM(D81:D88),4)</f>
        <v>0</v>
      </c>
      <c r="F81" s="2496"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12"/>
      <c r="AA81" s="2788"/>
      <c r="AG81" s="1370"/>
      <c r="AK81" s="2788"/>
    </row>
    <row r="82" spans="1:37" ht="51">
      <c r="A82" s="2870" t="s">
        <v>2956</v>
      </c>
      <c r="B82" s="2874" t="str">
        <f>估价对象房地状况!G16</f>
        <v>估价对象周边道路状况、公共交通通达情况、停车便捷程度，综合评价交通便捷度较好</v>
      </c>
      <c r="C82" s="2762"/>
      <c r="D82" s="1284">
        <f t="shared" si="25"/>
        <v>0</v>
      </c>
      <c r="E82" s="821"/>
      <c r="F82" s="2496"/>
      <c r="G82" s="1282"/>
      <c r="H82" s="1286" t="str">
        <f t="shared" si="26"/>
        <v>——</v>
      </c>
      <c r="I82" s="815">
        <v>0.33</v>
      </c>
      <c r="J82" s="1283">
        <f t="shared" si="27"/>
        <v>0</v>
      </c>
      <c r="K82" s="1283">
        <f t="shared" si="28"/>
        <v>0</v>
      </c>
      <c r="L82" s="1283">
        <v>0</v>
      </c>
      <c r="M82" s="1283">
        <f t="shared" si="29"/>
        <v>0</v>
      </c>
      <c r="N82" s="1283">
        <f t="shared" si="29"/>
        <v>0</v>
      </c>
      <c r="Z82" s="2712"/>
      <c r="AA82" s="2788"/>
      <c r="AG82" s="1370"/>
      <c r="AK82" s="2788"/>
    </row>
    <row r="83" spans="1:37" ht="24">
      <c r="A83" s="2870" t="s">
        <v>2957</v>
      </c>
      <c r="B83" s="2874">
        <f>估价对象房地状况!G17</f>
        <v>0</v>
      </c>
      <c r="C83" s="2762"/>
      <c r="D83" s="1284">
        <f t="shared" si="25"/>
        <v>0</v>
      </c>
      <c r="E83" s="821"/>
      <c r="F83" s="2496"/>
      <c r="G83" s="1282"/>
      <c r="H83" s="1286" t="str">
        <f t="shared" si="26"/>
        <v>——</v>
      </c>
      <c r="I83" s="815">
        <v>0.05</v>
      </c>
      <c r="J83" s="1283">
        <f t="shared" si="27"/>
        <v>0</v>
      </c>
      <c r="K83" s="1283">
        <f t="shared" si="28"/>
        <v>0</v>
      </c>
      <c r="L83" s="1283">
        <v>0</v>
      </c>
      <c r="M83" s="1283">
        <f t="shared" si="29"/>
        <v>0</v>
      </c>
      <c r="N83" s="1283">
        <f t="shared" si="29"/>
        <v>0</v>
      </c>
      <c r="Z83" s="2712"/>
      <c r="AA83" s="2788"/>
      <c r="AG83" s="1370"/>
      <c r="AK83" s="2788"/>
    </row>
    <row r="84" spans="1:37" ht="14.25">
      <c r="A84" s="2870" t="s">
        <v>2971</v>
      </c>
      <c r="B84" s="2874">
        <f>估价对象房地状况!G22</f>
        <v>0</v>
      </c>
      <c r="C84" s="2762"/>
      <c r="D84" s="1284">
        <f t="shared" si="25"/>
        <v>0</v>
      </c>
      <c r="E84" s="821"/>
      <c r="F84" s="2496"/>
      <c r="G84" s="1282"/>
      <c r="H84" s="1286" t="str">
        <f t="shared" si="26"/>
        <v>——</v>
      </c>
      <c r="I84" s="815">
        <v>0.04</v>
      </c>
      <c r="J84" s="1283">
        <f t="shared" si="27"/>
        <v>0</v>
      </c>
      <c r="K84" s="1283">
        <f t="shared" si="28"/>
        <v>0</v>
      </c>
      <c r="L84" s="1283">
        <v>0</v>
      </c>
      <c r="M84" s="1283">
        <f t="shared" si="29"/>
        <v>0</v>
      </c>
      <c r="N84" s="1283">
        <f t="shared" si="29"/>
        <v>0</v>
      </c>
      <c r="Z84" s="2712"/>
      <c r="AA84" s="2788"/>
      <c r="AG84" s="1370"/>
      <c r="AK84" s="2788"/>
    </row>
    <row r="85" spans="1:37" ht="25.5">
      <c r="A85" s="2870" t="s">
        <v>2963</v>
      </c>
      <c r="B85" s="1722" t="str">
        <f>估价对象房地状况!G19</f>
        <v>估价对象所在区域公共配套设施齐备情况</v>
      </c>
      <c r="C85" s="2762"/>
      <c r="D85" s="1284">
        <f t="shared" si="25"/>
        <v>0</v>
      </c>
      <c r="E85" s="821"/>
      <c r="F85" s="2496"/>
      <c r="G85" s="1282"/>
      <c r="H85" s="1286" t="str">
        <f t="shared" si="26"/>
        <v>——</v>
      </c>
      <c r="I85" s="815">
        <v>0.06</v>
      </c>
      <c r="J85" s="1283">
        <f t="shared" si="27"/>
        <v>0</v>
      </c>
      <c r="K85" s="1283">
        <f t="shared" si="28"/>
        <v>0</v>
      </c>
      <c r="L85" s="1283">
        <v>0</v>
      </c>
      <c r="M85" s="1283">
        <f t="shared" si="29"/>
        <v>0</v>
      </c>
      <c r="N85" s="1283">
        <f t="shared" si="29"/>
        <v>0</v>
      </c>
      <c r="Z85" s="2712"/>
      <c r="AA85" s="2788"/>
      <c r="AG85" s="1370"/>
      <c r="AK85" s="2788"/>
    </row>
    <row r="86" spans="1:37" ht="25.5">
      <c r="A86" s="2870" t="s">
        <v>2964</v>
      </c>
      <c r="B86" s="1722" t="str">
        <f>估价对象房地状况!G20</f>
        <v>估价对象所在区域基础设施水平</v>
      </c>
      <c r="C86" s="2762"/>
      <c r="D86" s="1284">
        <f t="shared" si="25"/>
        <v>0</v>
      </c>
      <c r="E86" s="821"/>
      <c r="F86" s="2496"/>
      <c r="G86" s="1282"/>
      <c r="H86" s="1286" t="str">
        <f t="shared" si="26"/>
        <v>——</v>
      </c>
      <c r="I86" s="815">
        <v>0.15</v>
      </c>
      <c r="J86" s="1283">
        <f t="shared" si="27"/>
        <v>0</v>
      </c>
      <c r="K86" s="1283">
        <f t="shared" si="28"/>
        <v>0</v>
      </c>
      <c r="L86" s="1283">
        <v>0</v>
      </c>
      <c r="M86" s="1283">
        <f t="shared" si="29"/>
        <v>0</v>
      </c>
      <c r="N86" s="1283">
        <f t="shared" si="29"/>
        <v>0</v>
      </c>
      <c r="Z86" s="2712"/>
      <c r="AA86" s="2788"/>
      <c r="AG86" s="1370"/>
      <c r="AK86" s="2788"/>
    </row>
    <row r="87" spans="1:37" ht="24">
      <c r="A87" s="2870" t="s">
        <v>2961</v>
      </c>
      <c r="B87" s="2876" t="s">
        <v>2975</v>
      </c>
      <c r="C87" s="2762"/>
      <c r="D87" s="1284">
        <f t="shared" si="25"/>
        <v>0</v>
      </c>
      <c r="E87" s="821"/>
      <c r="F87" s="2496"/>
      <c r="G87" s="1282"/>
      <c r="H87" s="1286" t="str">
        <f t="shared" si="26"/>
        <v>——</v>
      </c>
      <c r="I87" s="815">
        <v>0.05</v>
      </c>
      <c r="J87" s="1283">
        <f t="shared" si="27"/>
        <v>0</v>
      </c>
      <c r="K87" s="1283">
        <f t="shared" si="28"/>
        <v>0</v>
      </c>
      <c r="L87" s="1283">
        <v>0</v>
      </c>
      <c r="M87" s="1283">
        <f t="shared" si="29"/>
        <v>0</v>
      </c>
      <c r="N87" s="1283">
        <f t="shared" si="29"/>
        <v>0</v>
      </c>
      <c r="Z87" s="2712"/>
      <c r="AA87" s="2788"/>
      <c r="AG87" s="1370"/>
      <c r="AK87" s="2788"/>
    </row>
    <row r="88" spans="1:37" ht="39" thickBot="1">
      <c r="A88" s="2878" t="s">
        <v>2976</v>
      </c>
      <c r="B88" s="2883" t="str">
        <f>估价对象房地状况!G18</f>
        <v>该园区内是否有污染型企业，绿化情况，卫生条件，整体环境状况判断</v>
      </c>
      <c r="C88" s="2762"/>
      <c r="D88" s="1284">
        <f t="shared" si="25"/>
        <v>0</v>
      </c>
      <c r="E88" s="822"/>
      <c r="F88" s="2496"/>
      <c r="G88" s="1282"/>
      <c r="H88" s="1286" t="str">
        <f t="shared" si="26"/>
        <v>——</v>
      </c>
      <c r="I88" s="819">
        <v>0.06</v>
      </c>
      <c r="J88" s="1283">
        <f t="shared" si="27"/>
        <v>0</v>
      </c>
      <c r="K88" s="1283">
        <f t="shared" si="28"/>
        <v>0</v>
      </c>
      <c r="L88" s="1283">
        <v>0</v>
      </c>
      <c r="M88" s="1283">
        <f t="shared" si="29"/>
        <v>0</v>
      </c>
      <c r="N88" s="1283">
        <f t="shared" si="29"/>
        <v>0</v>
      </c>
      <c r="Z88" s="2712"/>
      <c r="AA88" s="2788"/>
      <c r="AG88" s="1370"/>
      <c r="AK88" s="2788"/>
    </row>
    <row r="90" spans="1:37">
      <c r="A90" s="3284" t="s">
        <v>2977</v>
      </c>
      <c r="B90" s="3284"/>
      <c r="C90" s="3284"/>
      <c r="D90" s="3284"/>
      <c r="E90" s="3284"/>
      <c r="F90" s="3284"/>
      <c r="G90" s="3284"/>
      <c r="H90" s="3284"/>
      <c r="I90" s="3284"/>
      <c r="J90" s="3284"/>
      <c r="K90" s="2884"/>
      <c r="L90" s="2884"/>
      <c r="M90" s="2884"/>
      <c r="N90" s="2884"/>
    </row>
    <row r="91" spans="1:37">
      <c r="A91" s="3286" t="s">
        <v>2978</v>
      </c>
      <c r="B91" s="3286" t="s">
        <v>2979</v>
      </c>
      <c r="C91" s="2838" t="s">
        <v>2980</v>
      </c>
      <c r="D91" s="2839"/>
      <c r="E91" s="2839"/>
      <c r="F91" s="2839"/>
      <c r="G91" s="2839"/>
      <c r="H91" s="2839"/>
      <c r="I91" s="2839"/>
      <c r="J91" s="2885"/>
      <c r="K91" s="2886"/>
      <c r="L91" s="2886"/>
      <c r="M91" s="2886"/>
      <c r="N91" s="2886"/>
    </row>
    <row r="92" spans="1:37">
      <c r="A92" s="3286"/>
      <c r="B92" s="3286"/>
      <c r="C92" s="940" t="s">
        <v>2844</v>
      </c>
      <c r="D92" s="940" t="s">
        <v>2845</v>
      </c>
      <c r="E92" s="940" t="s">
        <v>2846</v>
      </c>
      <c r="F92" s="940" t="s">
        <v>2847</v>
      </c>
      <c r="G92" s="940" t="s">
        <v>2848</v>
      </c>
      <c r="H92" s="940" t="s">
        <v>2849</v>
      </c>
      <c r="I92" s="940" t="s">
        <v>2850</v>
      </c>
      <c r="J92" s="940" t="s">
        <v>2851</v>
      </c>
      <c r="K92" s="940" t="s">
        <v>2852</v>
      </c>
      <c r="L92" s="940" t="s">
        <v>2853</v>
      </c>
      <c r="M92" s="940" t="s">
        <v>2854</v>
      </c>
      <c r="N92" s="940" t="s">
        <v>2855</v>
      </c>
    </row>
    <row r="93" spans="1:37">
      <c r="A93" s="3287" t="s">
        <v>2981</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88"/>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88"/>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88"/>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88"/>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88"/>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88"/>
      <c r="B99" s="2887" t="s">
        <v>2860</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289"/>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287" t="s">
        <v>2982</v>
      </c>
      <c r="B101" s="2891" t="s">
        <v>2983</v>
      </c>
      <c r="C101" s="2892">
        <f>$G$3</f>
        <v>2.54</v>
      </c>
      <c r="D101" s="2892">
        <f t="shared" ref="D101:N101" si="31">$G$3</f>
        <v>2.54</v>
      </c>
      <c r="E101" s="2892">
        <f t="shared" si="31"/>
        <v>2.54</v>
      </c>
      <c r="F101" s="2892">
        <f t="shared" si="31"/>
        <v>2.54</v>
      </c>
      <c r="G101" s="2892">
        <f t="shared" si="31"/>
        <v>2.54</v>
      </c>
      <c r="H101" s="2892">
        <f t="shared" si="31"/>
        <v>2.54</v>
      </c>
      <c r="I101" s="2892">
        <f t="shared" si="31"/>
        <v>2.54</v>
      </c>
      <c r="J101" s="2892">
        <f t="shared" si="31"/>
        <v>2.54</v>
      </c>
      <c r="K101" s="2892">
        <f t="shared" si="31"/>
        <v>2.54</v>
      </c>
      <c r="L101" s="2892">
        <f t="shared" si="31"/>
        <v>2.54</v>
      </c>
      <c r="M101" s="2892">
        <f t="shared" si="31"/>
        <v>2.54</v>
      </c>
      <c r="N101" s="2892">
        <f t="shared" si="31"/>
        <v>2.54</v>
      </c>
    </row>
    <row r="102" spans="1:14">
      <c r="A102" s="3288"/>
      <c r="B102" s="2887">
        <v>1</v>
      </c>
      <c r="C102" s="2888">
        <f>1.9362/C101</f>
        <v>0.76228346456692908</v>
      </c>
      <c r="D102" s="2888">
        <f>1.9362/D101</f>
        <v>0.76228346456692908</v>
      </c>
      <c r="E102" s="2888">
        <f>1.8629/E101</f>
        <v>0.73342519685039365</v>
      </c>
      <c r="F102" s="2888">
        <f>1.8629/F101</f>
        <v>0.73342519685039365</v>
      </c>
      <c r="G102" s="2888">
        <f>1.8629/G101</f>
        <v>0.73342519685039365</v>
      </c>
      <c r="H102" s="2888">
        <f>1.8629/H101</f>
        <v>0.73342519685039365</v>
      </c>
      <c r="I102" s="2888">
        <f>1.8629/I101</f>
        <v>0.73342519685039365</v>
      </c>
      <c r="J102" s="2888">
        <f>1.942/J101</f>
        <v>0.76456692913385826</v>
      </c>
      <c r="K102" s="2888">
        <f>1.942/K101</f>
        <v>0.76456692913385826</v>
      </c>
      <c r="L102" s="2888">
        <f>1.942/L101</f>
        <v>0.76456692913385826</v>
      </c>
      <c r="M102" s="2888">
        <f>1.942/M101</f>
        <v>0.76456692913385826</v>
      </c>
      <c r="N102" s="2888">
        <f>1.942/N101</f>
        <v>0.76456692913385826</v>
      </c>
    </row>
    <row r="103" spans="1:14">
      <c r="A103" s="3288"/>
      <c r="B103" s="2887">
        <v>2</v>
      </c>
      <c r="C103" s="2888">
        <f>1.4198/C101</f>
        <v>0.5589763779527559</v>
      </c>
      <c r="D103" s="2888">
        <f>1.4198/D101</f>
        <v>0.5589763779527559</v>
      </c>
      <c r="E103" s="2888">
        <f>1.3372/E101</f>
        <v>0.52645669291338582</v>
      </c>
      <c r="F103" s="2888">
        <f>1.3372/F101</f>
        <v>0.52645669291338582</v>
      </c>
      <c r="G103" s="2888">
        <f>1.3372/G101</f>
        <v>0.52645669291338582</v>
      </c>
      <c r="H103" s="2888">
        <f>1.3372/H101</f>
        <v>0.52645669291338582</v>
      </c>
      <c r="I103" s="2888">
        <f>1.3372/I101</f>
        <v>0.52645669291338582</v>
      </c>
      <c r="J103" s="2888">
        <f>1.2799/J101</f>
        <v>0.50389763779527563</v>
      </c>
      <c r="K103" s="2888">
        <f>1.2799/K101</f>
        <v>0.50389763779527563</v>
      </c>
      <c r="L103" s="2888">
        <f>1.2799/L101</f>
        <v>0.50389763779527563</v>
      </c>
      <c r="M103" s="2888">
        <f>1.2799/M101</f>
        <v>0.50389763779527563</v>
      </c>
      <c r="N103" s="2888">
        <f>1.2799/N101</f>
        <v>0.50389763779527563</v>
      </c>
    </row>
    <row r="104" spans="1:14">
      <c r="A104" s="3288"/>
      <c r="B104" s="2887">
        <v>3</v>
      </c>
      <c r="C104" s="2888">
        <f>1.1594/C101</f>
        <v>0.45645669291338581</v>
      </c>
      <c r="D104" s="2888">
        <f>1.1594/D101</f>
        <v>0.45645669291338581</v>
      </c>
      <c r="E104" s="2888">
        <f>1.0788/E101</f>
        <v>0.4247244094488189</v>
      </c>
      <c r="F104" s="2888">
        <f>1.0788/F101</f>
        <v>0.4247244094488189</v>
      </c>
      <c r="G104" s="2888">
        <f>1.0788/G101</f>
        <v>0.4247244094488189</v>
      </c>
      <c r="H104" s="2888">
        <f>1.0788/H101</f>
        <v>0.4247244094488189</v>
      </c>
      <c r="I104" s="2888">
        <f>1.0788/I101</f>
        <v>0.4247244094488189</v>
      </c>
      <c r="J104" s="2888">
        <f>1.0072/J101</f>
        <v>0.39653543307086619</v>
      </c>
      <c r="K104" s="2888">
        <f>1.0072/K101</f>
        <v>0.39653543307086619</v>
      </c>
      <c r="L104" s="2888">
        <f>1.0072/L101</f>
        <v>0.39653543307086619</v>
      </c>
      <c r="M104" s="2888">
        <f>1.0072/M101</f>
        <v>0.39653543307086619</v>
      </c>
      <c r="N104" s="2888">
        <f>1.0072/N101</f>
        <v>0.39653543307086619</v>
      </c>
    </row>
    <row r="105" spans="1:14">
      <c r="A105" s="3288"/>
      <c r="B105" s="2887">
        <v>4</v>
      </c>
      <c r="C105" s="2888">
        <f>0.9622/C101</f>
        <v>0.3788188976377953</v>
      </c>
      <c r="D105" s="2888">
        <f>0.9622/D101</f>
        <v>0.3788188976377953</v>
      </c>
      <c r="E105" s="2888">
        <f>0.8656/E101</f>
        <v>0.34078740157480314</v>
      </c>
      <c r="F105" s="2888">
        <f>0.8656/F101</f>
        <v>0.34078740157480314</v>
      </c>
      <c r="G105" s="2888">
        <f>0.8656/G101</f>
        <v>0.34078740157480314</v>
      </c>
      <c r="H105" s="2888">
        <f>0.8656/H101</f>
        <v>0.34078740157480314</v>
      </c>
      <c r="I105" s="2888">
        <f>0.8656/I101</f>
        <v>0.34078740157480314</v>
      </c>
      <c r="J105" s="2888">
        <f>0.7525/J101</f>
        <v>0.29625984251968501</v>
      </c>
      <c r="K105" s="2888">
        <f>0.7525/K101</f>
        <v>0.29625984251968501</v>
      </c>
      <c r="L105" s="2888">
        <f>0.7525/L101</f>
        <v>0.29625984251968501</v>
      </c>
      <c r="M105" s="2888">
        <f>0.7525/M101</f>
        <v>0.29625984251968501</v>
      </c>
      <c r="N105" s="2888">
        <f>0.7525/N101</f>
        <v>0.29625984251968501</v>
      </c>
    </row>
    <row r="106" spans="1:14">
      <c r="A106" s="3288"/>
      <c r="B106" s="2887">
        <v>5</v>
      </c>
      <c r="C106" s="2888">
        <f>0.8417/C101</f>
        <v>0.33137795275590554</v>
      </c>
      <c r="D106" s="2888">
        <f>0.8417/D101</f>
        <v>0.33137795275590554</v>
      </c>
      <c r="E106" s="2888">
        <f>0.7371/E101</f>
        <v>0.2901968503937008</v>
      </c>
      <c r="F106" s="2888">
        <f>0.7371/F101</f>
        <v>0.2901968503937008</v>
      </c>
      <c r="G106" s="2888">
        <f>0.7371/G101</f>
        <v>0.2901968503937008</v>
      </c>
      <c r="H106" s="2888">
        <f>0.7371/H101</f>
        <v>0.2901968503937008</v>
      </c>
      <c r="I106" s="2888">
        <f>0.7371/I101</f>
        <v>0.2901968503937008</v>
      </c>
      <c r="J106" s="2888">
        <f>0.5659/J101</f>
        <v>0.22279527559055115</v>
      </c>
      <c r="K106" s="2888">
        <f>0.5659/K101</f>
        <v>0.22279527559055115</v>
      </c>
      <c r="L106" s="2888">
        <f>0.5659/L101</f>
        <v>0.22279527559055115</v>
      </c>
      <c r="M106" s="2888">
        <f>0.5659/M101</f>
        <v>0.22279527559055115</v>
      </c>
      <c r="N106" s="2888">
        <f>0.5659/N101</f>
        <v>0.22279527559055115</v>
      </c>
    </row>
    <row r="107" spans="1:14">
      <c r="A107" s="3288"/>
      <c r="B107" s="2887">
        <v>6</v>
      </c>
      <c r="C107" s="2888">
        <f>0.7608/C101</f>
        <v>0.29952755905511813</v>
      </c>
      <c r="D107" s="2888">
        <f>0.7608/D101</f>
        <v>0.29952755905511813</v>
      </c>
      <c r="E107" s="2888">
        <f>0.6482/E101</f>
        <v>0.25519685039370077</v>
      </c>
      <c r="F107" s="2888">
        <f>0.6482/F101</f>
        <v>0.25519685039370077</v>
      </c>
      <c r="G107" s="2888">
        <f>0.6482/G101</f>
        <v>0.25519685039370077</v>
      </c>
      <c r="H107" s="2888">
        <f>0.6482/H101</f>
        <v>0.25519685039370077</v>
      </c>
      <c r="I107" s="2888">
        <f>0.6482/I101</f>
        <v>0.25519685039370077</v>
      </c>
      <c r="J107" s="2888">
        <f>0.4525/J101</f>
        <v>0.17814960629921262</v>
      </c>
      <c r="K107" s="2888">
        <f>0.4525/K101</f>
        <v>0.17814960629921262</v>
      </c>
      <c r="L107" s="2888">
        <f>0.4525/L101</f>
        <v>0.17814960629921262</v>
      </c>
      <c r="M107" s="2888">
        <f>0.4525/M101</f>
        <v>0.17814960629921262</v>
      </c>
      <c r="N107" s="2888">
        <f>0.4525/N101</f>
        <v>0.17814960629921262</v>
      </c>
    </row>
    <row r="108" spans="1:14">
      <c r="A108" s="3288"/>
      <c r="B108" s="3112" t="s">
        <v>2984</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289"/>
      <c r="B109" s="3113"/>
      <c r="C109" s="2890">
        <f>(-0.163*(C108^2)-0.59*C108+7617)*(10^(-4))/C101</f>
        <v>0.29988188976377955</v>
      </c>
      <c r="D109" s="2890">
        <f>(-0.163*(D108^2)-0.59*D108+7617)*(10^(-4))/D101</f>
        <v>0.29988188976377955</v>
      </c>
      <c r="E109" s="2890">
        <f>(-0.161*(E108^2)-7.509*E108+6533)*(10^(-4))/E101</f>
        <v>0.2572047244094488</v>
      </c>
      <c r="F109" s="2890">
        <f>(-0.161*(F108^2)-7.509*F108+6533)*(10^(-4))/F101</f>
        <v>0.2572047244094488</v>
      </c>
      <c r="G109" s="2890">
        <f>(-0.161*(G108^2)-7.509*G108+6533)*(10^(-4))/G101</f>
        <v>0.2572047244094488</v>
      </c>
      <c r="H109" s="2890">
        <f>(-0.161*(H108^2)-7.509*H108+6533)*(10^(-4))/H101</f>
        <v>0.2572047244094488</v>
      </c>
      <c r="I109" s="2890">
        <f>(-0.161*(I108^2)-7.509*I108+6533)*(10^(-4))/I101</f>
        <v>0.2572047244094488</v>
      </c>
      <c r="J109" s="2890">
        <f>(-0.214*(J108^2)-21.991*J108+4665)*(10^(-4))/J101</f>
        <v>0.18366141732283464</v>
      </c>
      <c r="K109" s="2890">
        <f>(-0.214*(K108^2)-21.991*K108+4665)*(10^(-4))/K101</f>
        <v>0.18366141732283464</v>
      </c>
      <c r="L109" s="2890">
        <f>(-0.214*(L108^2)-21.991*L108+4665)*(10^(-4))/L101</f>
        <v>0.18366141732283464</v>
      </c>
      <c r="M109" s="2890">
        <f>(-0.214*(M108^2)-21.991*M108+4665)*(10^(-4))/M101</f>
        <v>0.18366141732283464</v>
      </c>
      <c r="N109" s="2890">
        <f>(-0.214*(N108^2)-21.991*N108+4665)*(10^(-4))/N101</f>
        <v>0.18366141732283464</v>
      </c>
    </row>
    <row r="110" spans="1:14">
      <c r="A110" s="3285" t="s">
        <v>2985</v>
      </c>
      <c r="B110" s="3285"/>
      <c r="C110" s="3285"/>
      <c r="D110" s="3285"/>
      <c r="E110" s="3285"/>
      <c r="F110" s="3285"/>
      <c r="G110" s="3285"/>
      <c r="H110" s="3285"/>
      <c r="I110" s="3285"/>
      <c r="J110" s="3285"/>
      <c r="K110" s="2893"/>
      <c r="L110" s="2893"/>
      <c r="M110" s="2893"/>
      <c r="N110" s="2893"/>
    </row>
    <row r="112" spans="1:14" ht="13.5" thickBot="1"/>
    <row r="113" spans="1:13" ht="25.5" thickBot="1">
      <c r="A113" s="898" t="s">
        <v>2986</v>
      </c>
      <c r="B113" s="1285">
        <f>G3</f>
        <v>2.54</v>
      </c>
      <c r="C113" s="899" t="s">
        <v>2987</v>
      </c>
      <c r="D113" s="900">
        <f>SUMPRODUCT((A115:A118=F113)*(B114:M114=H113)*B115:M118)</f>
        <v>0</v>
      </c>
      <c r="E113" s="2716" t="s">
        <v>2817</v>
      </c>
      <c r="F113" s="2895">
        <f>E2</f>
        <v>0</v>
      </c>
      <c r="G113" s="2716" t="s">
        <v>2818</v>
      </c>
      <c r="H113" s="2895">
        <f>G2</f>
        <v>0</v>
      </c>
      <c r="I113" s="2716"/>
      <c r="J113" s="2896"/>
      <c r="K113" s="2896"/>
      <c r="L113" s="2896"/>
      <c r="M113" s="2896"/>
    </row>
    <row r="114" spans="1:13">
      <c r="A114" s="903"/>
      <c r="B114" s="2897" t="s">
        <v>2988</v>
      </c>
      <c r="C114" s="2897" t="s">
        <v>2989</v>
      </c>
      <c r="D114" s="2897" t="s">
        <v>2990</v>
      </c>
      <c r="E114" s="2898" t="s">
        <v>2991</v>
      </c>
      <c r="F114" s="2898" t="s">
        <v>2992</v>
      </c>
      <c r="G114" s="2898" t="s">
        <v>2993</v>
      </c>
      <c r="H114" s="2899" t="s">
        <v>2994</v>
      </c>
      <c r="I114" s="2899" t="s">
        <v>2995</v>
      </c>
      <c r="J114" s="2900" t="s">
        <v>2996</v>
      </c>
      <c r="K114" s="2900" t="s">
        <v>2997</v>
      </c>
      <c r="L114" s="2900" t="s">
        <v>2998</v>
      </c>
      <c r="M114" s="2901" t="s">
        <v>2999</v>
      </c>
    </row>
    <row r="115" spans="1:13">
      <c r="A115" s="904" t="s">
        <v>2882</v>
      </c>
      <c r="B115" s="905">
        <f>ROUND(0.9335-0.0094*B113,4)</f>
        <v>0.90959999999999996</v>
      </c>
      <c r="C115" s="905">
        <f>B115</f>
        <v>0.90959999999999996</v>
      </c>
      <c r="D115" s="905">
        <f>ROUND(0.8331-0.0109*B113,4)</f>
        <v>0.8054</v>
      </c>
      <c r="E115" s="905">
        <f>D115</f>
        <v>0.8054</v>
      </c>
      <c r="F115" s="905">
        <f>E115</f>
        <v>0.8054</v>
      </c>
      <c r="G115" s="905">
        <f>F115</f>
        <v>0.8054</v>
      </c>
      <c r="H115" s="905">
        <f>G115</f>
        <v>0.8054</v>
      </c>
      <c r="I115" s="905">
        <f>ROUND(0.689-0.0155*B113,4)</f>
        <v>0.64959999999999996</v>
      </c>
      <c r="J115" s="905">
        <f t="shared" ref="J115:M118" si="33">I115</f>
        <v>0.64959999999999996</v>
      </c>
      <c r="K115" s="905">
        <f t="shared" si="33"/>
        <v>0.64959999999999996</v>
      </c>
      <c r="L115" s="905">
        <f t="shared" si="33"/>
        <v>0.64959999999999996</v>
      </c>
      <c r="M115" s="906">
        <f t="shared" si="33"/>
        <v>0.64959999999999996</v>
      </c>
    </row>
    <row r="116" spans="1:13">
      <c r="A116" s="904" t="s">
        <v>2883</v>
      </c>
      <c r="B116" s="905">
        <f>ROUND(0.949-0.012*B113,4)</f>
        <v>0.91849999999999998</v>
      </c>
      <c r="C116" s="905">
        <f>B116</f>
        <v>0.91849999999999998</v>
      </c>
      <c r="D116" s="905">
        <f>ROUND(0.8567-0.013*B113,4)</f>
        <v>0.82369999999999999</v>
      </c>
      <c r="E116" s="905">
        <f t="shared" ref="E116:H117" si="34">D116</f>
        <v>0.82369999999999999</v>
      </c>
      <c r="F116" s="905">
        <f t="shared" si="34"/>
        <v>0.82369999999999999</v>
      </c>
      <c r="G116" s="905">
        <f t="shared" si="34"/>
        <v>0.82369999999999999</v>
      </c>
      <c r="H116" s="905">
        <f t="shared" si="34"/>
        <v>0.82369999999999999</v>
      </c>
      <c r="I116" s="905">
        <f>ROUND(0.7694-0.014*B113,4)</f>
        <v>0.73380000000000001</v>
      </c>
      <c r="J116" s="905">
        <f t="shared" si="33"/>
        <v>0.73380000000000001</v>
      </c>
      <c r="K116" s="905">
        <f t="shared" si="33"/>
        <v>0.73380000000000001</v>
      </c>
      <c r="L116" s="905">
        <f t="shared" si="33"/>
        <v>0.73380000000000001</v>
      </c>
      <c r="M116" s="906">
        <f t="shared" si="33"/>
        <v>0.73380000000000001</v>
      </c>
    </row>
    <row r="117" spans="1:13">
      <c r="A117" s="904" t="s">
        <v>2884</v>
      </c>
      <c r="B117" s="905">
        <f>ROUND(0.8808-0.006*B113,4)</f>
        <v>0.86560000000000004</v>
      </c>
      <c r="C117" s="905">
        <f>B117</f>
        <v>0.86560000000000004</v>
      </c>
      <c r="D117" s="905">
        <f>ROUND(0.8748-0.008*B113,4)</f>
        <v>0.85450000000000004</v>
      </c>
      <c r="E117" s="905">
        <f t="shared" si="34"/>
        <v>0.85450000000000004</v>
      </c>
      <c r="F117" s="905">
        <f t="shared" si="34"/>
        <v>0.85450000000000004</v>
      </c>
      <c r="G117" s="905">
        <f t="shared" si="34"/>
        <v>0.85450000000000004</v>
      </c>
      <c r="H117" s="905">
        <f t="shared" si="34"/>
        <v>0.85450000000000004</v>
      </c>
      <c r="I117" s="905">
        <f>ROUND(0.7412-0.0095*B113,4)</f>
        <v>0.71709999999999996</v>
      </c>
      <c r="J117" s="905">
        <f t="shared" si="33"/>
        <v>0.71709999999999996</v>
      </c>
      <c r="K117" s="905">
        <f t="shared" si="33"/>
        <v>0.71709999999999996</v>
      </c>
      <c r="L117" s="905">
        <f t="shared" si="33"/>
        <v>0.71709999999999996</v>
      </c>
      <c r="M117" s="906">
        <f t="shared" si="33"/>
        <v>0.71709999999999996</v>
      </c>
    </row>
    <row r="118" spans="1:13" ht="13.5" thickBot="1">
      <c r="A118" s="712" t="s">
        <v>2885</v>
      </c>
      <c r="B118" s="907">
        <f>ROUND(0.7275-0.01*B113,4)</f>
        <v>0.70209999999999995</v>
      </c>
      <c r="C118" s="907">
        <f>B118</f>
        <v>0.70209999999999995</v>
      </c>
      <c r="D118" s="907">
        <f>ROUND(0.7043-0.012*B113,4)</f>
        <v>0.67379999999999995</v>
      </c>
      <c r="E118" s="907">
        <f>D118</f>
        <v>0.67379999999999995</v>
      </c>
      <c r="F118" s="907">
        <f>E118</f>
        <v>0.67379999999999995</v>
      </c>
      <c r="G118" s="907">
        <f>ROUND(0.6299-0.0122*B113,4)</f>
        <v>0.59889999999999999</v>
      </c>
      <c r="H118" s="907">
        <f>G118</f>
        <v>0.59889999999999999</v>
      </c>
      <c r="I118" s="907">
        <f>ROUND(0.5667-0.0136*B113,4)</f>
        <v>0.53220000000000001</v>
      </c>
      <c r="J118" s="907">
        <f t="shared" si="33"/>
        <v>0.53220000000000001</v>
      </c>
      <c r="K118" s="907">
        <f t="shared" si="33"/>
        <v>0.53220000000000001</v>
      </c>
      <c r="L118" s="907">
        <f t="shared" si="33"/>
        <v>0.53220000000000001</v>
      </c>
      <c r="M118" s="908">
        <f t="shared" si="33"/>
        <v>0.53220000000000001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302" t="s">
        <v>183</v>
      </c>
      <c r="B18" s="877" t="s">
        <v>560</v>
      </c>
      <c r="C18" s="878" t="s">
        <v>561</v>
      </c>
      <c r="D18" s="879"/>
      <c r="E18" s="877">
        <v>1</v>
      </c>
      <c r="F18" s="880" t="s">
        <v>562</v>
      </c>
      <c r="G18" s="881"/>
      <c r="H18" s="873"/>
      <c r="I18" s="873"/>
    </row>
    <row r="19" spans="1:9" s="882" customFormat="1" ht="19.5" customHeight="1">
      <c r="A19" s="3302"/>
      <c r="B19" s="3302" t="s">
        <v>563</v>
      </c>
      <c r="C19" s="878" t="s">
        <v>564</v>
      </c>
      <c r="D19" s="879"/>
      <c r="E19" s="877">
        <v>0.9</v>
      </c>
      <c r="F19" s="880" t="s">
        <v>565</v>
      </c>
      <c r="G19" s="881"/>
      <c r="H19" s="873"/>
      <c r="I19" s="873"/>
    </row>
    <row r="20" spans="1:9" s="882" customFormat="1" ht="19.5" customHeight="1">
      <c r="A20" s="3302"/>
      <c r="B20" s="3302"/>
      <c r="C20" s="878" t="s">
        <v>566</v>
      </c>
      <c r="D20" s="879"/>
      <c r="E20" s="877">
        <v>1.1000000000000001</v>
      </c>
      <c r="F20" s="880" t="s">
        <v>567</v>
      </c>
      <c r="G20" s="881"/>
      <c r="H20" s="873"/>
      <c r="I20" s="873"/>
    </row>
    <row r="21" spans="1:9" s="882" customFormat="1" ht="19.5" customHeight="1">
      <c r="A21" s="3302"/>
      <c r="B21" s="3302"/>
      <c r="C21" s="878" t="s">
        <v>568</v>
      </c>
      <c r="D21" s="879"/>
      <c r="E21" s="877">
        <v>0.8</v>
      </c>
      <c r="F21" s="880" t="s">
        <v>569</v>
      </c>
      <c r="G21" s="881"/>
      <c r="H21" s="873"/>
      <c r="I21" s="873"/>
    </row>
    <row r="22" spans="1:9" s="882" customFormat="1" ht="19.5" customHeight="1">
      <c r="A22" s="3302"/>
      <c r="B22" s="3302"/>
      <c r="C22" s="878" t="s">
        <v>570</v>
      </c>
      <c r="D22" s="879"/>
      <c r="E22" s="877">
        <v>0.5</v>
      </c>
      <c r="F22" s="880"/>
      <c r="G22" s="881"/>
      <c r="H22" s="873"/>
      <c r="I22" s="873"/>
    </row>
    <row r="23" spans="1:9" s="882" customFormat="1" ht="19.5" customHeight="1">
      <c r="A23" s="3302" t="s">
        <v>184</v>
      </c>
      <c r="B23" s="877" t="s">
        <v>560</v>
      </c>
      <c r="C23" s="878" t="s">
        <v>571</v>
      </c>
      <c r="D23" s="879"/>
      <c r="E23" s="877">
        <v>1</v>
      </c>
      <c r="F23" s="880" t="s">
        <v>572</v>
      </c>
      <c r="G23" s="881"/>
      <c r="H23" s="873"/>
      <c r="I23" s="873"/>
    </row>
    <row r="24" spans="1:9" s="882" customFormat="1" ht="19.5" customHeight="1">
      <c r="A24" s="3302"/>
      <c r="B24" s="3302" t="s">
        <v>563</v>
      </c>
      <c r="C24" s="878" t="s">
        <v>573</v>
      </c>
      <c r="D24" s="879"/>
      <c r="E24" s="877">
        <v>0.5</v>
      </c>
      <c r="F24" s="880"/>
      <c r="G24" s="881"/>
      <c r="H24" s="873"/>
      <c r="I24" s="873"/>
    </row>
    <row r="25" spans="1:9" s="882" customFormat="1" ht="19.5" customHeight="1">
      <c r="A25" s="3302"/>
      <c r="B25" s="3302"/>
      <c r="C25" s="878" t="s">
        <v>574</v>
      </c>
      <c r="D25" s="879"/>
      <c r="E25" s="877">
        <v>1.1000000000000001</v>
      </c>
      <c r="F25" s="880"/>
      <c r="G25" s="881"/>
      <c r="H25" s="873"/>
      <c r="I25" s="873"/>
    </row>
    <row r="26" spans="1:9" s="882" customFormat="1" ht="19.5" customHeight="1">
      <c r="A26" s="3302"/>
      <c r="B26" s="3302"/>
      <c r="C26" s="878" t="s">
        <v>575</v>
      </c>
      <c r="D26" s="879"/>
      <c r="E26" s="877">
        <v>1.1000000000000001</v>
      </c>
      <c r="F26" s="880"/>
      <c r="G26" s="881"/>
      <c r="H26" s="873"/>
      <c r="I26" s="873"/>
    </row>
    <row r="27" spans="1:9" s="882" customFormat="1" ht="19.5" customHeight="1">
      <c r="A27" s="3302"/>
      <c r="B27" s="3302"/>
      <c r="C27" s="878" t="s">
        <v>576</v>
      </c>
      <c r="D27" s="879"/>
      <c r="E27" s="877">
        <v>0.9</v>
      </c>
      <c r="F27" s="880" t="s">
        <v>577</v>
      </c>
      <c r="G27" s="881"/>
      <c r="H27" s="873"/>
      <c r="I27" s="873"/>
    </row>
    <row r="28" spans="1:9" s="882" customFormat="1" ht="19.5" customHeight="1">
      <c r="A28" s="3302"/>
      <c r="B28" s="3302"/>
      <c r="C28" s="878" t="s">
        <v>578</v>
      </c>
      <c r="D28" s="879"/>
      <c r="E28" s="877">
        <v>0.9</v>
      </c>
      <c r="F28" s="880" t="s">
        <v>579</v>
      </c>
      <c r="G28" s="881"/>
      <c r="H28" s="873"/>
      <c r="I28" s="873"/>
    </row>
    <row r="29" spans="1:9" s="882" customFormat="1" ht="19.5" customHeight="1">
      <c r="A29" s="3302"/>
      <c r="B29" s="3302"/>
      <c r="C29" s="878" t="s">
        <v>580</v>
      </c>
      <c r="D29" s="879"/>
      <c r="E29" s="877">
        <v>0.9</v>
      </c>
      <c r="F29" s="880" t="s">
        <v>581</v>
      </c>
      <c r="G29" s="881"/>
      <c r="H29" s="873"/>
      <c r="I29" s="873"/>
    </row>
    <row r="30" spans="1:9" s="882" customFormat="1" ht="19.5" customHeight="1">
      <c r="A30" s="3302"/>
      <c r="B30" s="3302"/>
      <c r="C30" s="878" t="s">
        <v>582</v>
      </c>
      <c r="D30" s="879"/>
      <c r="E30" s="877">
        <v>0.9</v>
      </c>
      <c r="F30" s="880" t="s">
        <v>583</v>
      </c>
      <c r="G30" s="881"/>
      <c r="H30" s="873"/>
      <c r="I30" s="873"/>
    </row>
    <row r="31" spans="1:9" s="882" customFormat="1" ht="19.5" customHeight="1">
      <c r="A31" s="3302"/>
      <c r="B31" s="3302"/>
      <c r="C31" s="878" t="s">
        <v>584</v>
      </c>
      <c r="D31" s="879"/>
      <c r="E31" s="877">
        <v>0.8</v>
      </c>
      <c r="F31" s="880" t="s">
        <v>585</v>
      </c>
      <c r="G31" s="881"/>
      <c r="H31" s="873"/>
      <c r="I31" s="873"/>
    </row>
    <row r="32" spans="1:9" s="882" customFormat="1" ht="19.5" customHeight="1">
      <c r="A32" s="3302"/>
      <c r="B32" s="3302"/>
      <c r="C32" s="878" t="s">
        <v>586</v>
      </c>
      <c r="D32" s="879"/>
      <c r="E32" s="877">
        <v>0.8</v>
      </c>
      <c r="F32" s="880" t="s">
        <v>587</v>
      </c>
      <c r="G32" s="881"/>
      <c r="H32" s="873"/>
      <c r="I32" s="873"/>
    </row>
    <row r="33" spans="1:9" s="882" customFormat="1" ht="19.5" customHeight="1">
      <c r="A33" s="3302" t="s">
        <v>185</v>
      </c>
      <c r="B33" s="877" t="s">
        <v>560</v>
      </c>
      <c r="C33" s="878" t="s">
        <v>588</v>
      </c>
      <c r="D33" s="879"/>
      <c r="E33" s="877">
        <v>1</v>
      </c>
      <c r="F33" s="880" t="s">
        <v>589</v>
      </c>
      <c r="G33" s="881"/>
      <c r="H33" s="873"/>
      <c r="I33" s="873"/>
    </row>
    <row r="34" spans="1:9" s="882" customFormat="1" ht="19.5" customHeight="1">
      <c r="A34" s="3302"/>
      <c r="B34" s="877" t="s">
        <v>563</v>
      </c>
      <c r="C34" s="878" t="s">
        <v>590</v>
      </c>
      <c r="D34" s="879"/>
      <c r="E34" s="877">
        <v>1.5</v>
      </c>
      <c r="F34" s="880" t="s">
        <v>591</v>
      </c>
      <c r="G34" s="881"/>
      <c r="H34" s="873"/>
      <c r="I34" s="873"/>
    </row>
    <row r="35" spans="1:9" s="882" customFormat="1" ht="19.5" customHeight="1">
      <c r="A35" s="3302" t="s">
        <v>186</v>
      </c>
      <c r="B35" s="877" t="s">
        <v>560</v>
      </c>
      <c r="C35" s="878" t="s">
        <v>592</v>
      </c>
      <c r="D35" s="879"/>
      <c r="E35" s="877">
        <v>1</v>
      </c>
      <c r="F35" s="880" t="s">
        <v>593</v>
      </c>
      <c r="G35" s="881"/>
      <c r="H35" s="873"/>
      <c r="I35" s="873"/>
    </row>
    <row r="36" spans="1:9" s="882" customFormat="1" ht="19.5" customHeight="1">
      <c r="A36" s="3302"/>
      <c r="B36" s="3302" t="s">
        <v>563</v>
      </c>
      <c r="C36" s="878" t="s">
        <v>594</v>
      </c>
      <c r="D36" s="879"/>
      <c r="E36" s="877">
        <v>1</v>
      </c>
      <c r="F36" s="880" t="s">
        <v>595</v>
      </c>
      <c r="G36" s="881"/>
      <c r="H36" s="873"/>
      <c r="I36" s="873"/>
    </row>
    <row r="37" spans="1:9" s="882" customFormat="1" ht="19.5" customHeight="1">
      <c r="A37" s="3302"/>
      <c r="B37" s="3302"/>
      <c r="C37" s="878" t="s">
        <v>596</v>
      </c>
      <c r="D37" s="879"/>
      <c r="E37" s="877">
        <v>1.5</v>
      </c>
      <c r="F37" s="880" t="s">
        <v>597</v>
      </c>
      <c r="G37" s="881"/>
      <c r="H37" s="873"/>
      <c r="I37" s="873"/>
    </row>
    <row r="38" spans="1:9" s="882" customFormat="1" ht="19.5" customHeight="1">
      <c r="A38" s="3302"/>
      <c r="B38" s="3302"/>
      <c r="C38" s="878" t="s">
        <v>598</v>
      </c>
      <c r="D38" s="879"/>
      <c r="E38" s="877">
        <v>1</v>
      </c>
      <c r="F38" s="880" t="s">
        <v>599</v>
      </c>
      <c r="G38" s="881"/>
      <c r="H38" s="873"/>
      <c r="I38" s="873"/>
    </row>
    <row r="39" spans="1:9" s="882" customFormat="1" ht="19.5" customHeight="1">
      <c r="A39" s="3302"/>
      <c r="B39" s="3302"/>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302" t="s">
        <v>614</v>
      </c>
      <c r="C61" s="813" t="s">
        <v>615</v>
      </c>
      <c r="D61" s="813" t="s">
        <v>616</v>
      </c>
      <c r="E61" s="890">
        <v>0.5</v>
      </c>
      <c r="F61" s="877">
        <v>80</v>
      </c>
    </row>
    <row r="62" spans="1:8" s="873" customFormat="1" ht="24">
      <c r="A62" s="877">
        <v>2</v>
      </c>
      <c r="B62" s="3302"/>
      <c r="C62" s="813" t="s">
        <v>617</v>
      </c>
      <c r="D62" s="813" t="s">
        <v>618</v>
      </c>
      <c r="E62" s="890">
        <v>0.5</v>
      </c>
      <c r="F62" s="877">
        <v>80</v>
      </c>
    </row>
    <row r="63" spans="1:8" s="873" customFormat="1" ht="36">
      <c r="A63" s="877">
        <v>3</v>
      </c>
      <c r="B63" s="3302"/>
      <c r="C63" s="813" t="s">
        <v>619</v>
      </c>
      <c r="D63" s="813" t="s">
        <v>620</v>
      </c>
      <c r="E63" s="890">
        <v>0.5</v>
      </c>
      <c r="F63" s="877">
        <v>80</v>
      </c>
    </row>
    <row r="64" spans="1:8" s="873" customFormat="1" ht="36">
      <c r="A64" s="877">
        <v>4</v>
      </c>
      <c r="B64" s="3302"/>
      <c r="C64" s="813" t="s">
        <v>621</v>
      </c>
      <c r="D64" s="813" t="s">
        <v>622</v>
      </c>
      <c r="E64" s="890">
        <v>0.4</v>
      </c>
      <c r="F64" s="877">
        <v>60</v>
      </c>
    </row>
    <row r="65" spans="1:6" s="873" customFormat="1" ht="36">
      <c r="A65" s="877">
        <v>5</v>
      </c>
      <c r="B65" s="3302"/>
      <c r="C65" s="813" t="s">
        <v>623</v>
      </c>
      <c r="D65" s="813" t="s">
        <v>624</v>
      </c>
      <c r="E65" s="890">
        <v>0.2</v>
      </c>
      <c r="F65" s="877">
        <v>30</v>
      </c>
    </row>
    <row r="66" spans="1:6" s="873" customFormat="1" ht="36">
      <c r="A66" s="877">
        <v>6</v>
      </c>
      <c r="B66" s="3302"/>
      <c r="C66" s="813" t="s">
        <v>625</v>
      </c>
      <c r="D66" s="813" t="s">
        <v>626</v>
      </c>
      <c r="E66" s="890">
        <v>0.3</v>
      </c>
      <c r="F66" s="877">
        <v>50</v>
      </c>
    </row>
    <row r="67" spans="1:6" s="873" customFormat="1" ht="36">
      <c r="A67" s="877">
        <v>7</v>
      </c>
      <c r="B67" s="3302"/>
      <c r="C67" s="813" t="s">
        <v>627</v>
      </c>
      <c r="D67" s="813" t="s">
        <v>628</v>
      </c>
      <c r="E67" s="890">
        <v>0.2</v>
      </c>
      <c r="F67" s="877">
        <v>30</v>
      </c>
    </row>
    <row r="68" spans="1:6" s="873" customFormat="1" ht="36">
      <c r="A68" s="877">
        <v>8</v>
      </c>
      <c r="B68" s="3302"/>
      <c r="C68" s="813" t="s">
        <v>629</v>
      </c>
      <c r="D68" s="813" t="s">
        <v>630</v>
      </c>
      <c r="E68" s="890">
        <v>0.2</v>
      </c>
      <c r="F68" s="877">
        <v>30</v>
      </c>
    </row>
    <row r="69" spans="1:6" s="873" customFormat="1" ht="36">
      <c r="A69" s="877">
        <v>9</v>
      </c>
      <c r="B69" s="3302"/>
      <c r="C69" s="813" t="s">
        <v>631</v>
      </c>
      <c r="D69" s="813" t="s">
        <v>632</v>
      </c>
      <c r="E69" s="890">
        <v>0.2</v>
      </c>
      <c r="F69" s="877">
        <v>30</v>
      </c>
    </row>
    <row r="70" spans="1:6" s="873" customFormat="1" ht="48">
      <c r="A70" s="877">
        <v>10</v>
      </c>
      <c r="B70" s="3302"/>
      <c r="C70" s="813" t="s">
        <v>633</v>
      </c>
      <c r="D70" s="813" t="s">
        <v>634</v>
      </c>
      <c r="E70" s="890">
        <v>0.2</v>
      </c>
      <c r="F70" s="877">
        <v>30</v>
      </c>
    </row>
    <row r="71" spans="1:6" s="873" customFormat="1" ht="48">
      <c r="A71" s="877">
        <v>11</v>
      </c>
      <c r="B71" s="3302"/>
      <c r="C71" s="813" t="s">
        <v>635</v>
      </c>
      <c r="D71" s="813" t="s">
        <v>636</v>
      </c>
      <c r="E71" s="890">
        <v>0.2</v>
      </c>
      <c r="F71" s="877">
        <v>30</v>
      </c>
    </row>
    <row r="72" spans="1:6" s="873" customFormat="1" ht="36">
      <c r="A72" s="877">
        <v>12</v>
      </c>
      <c r="B72" s="3302"/>
      <c r="C72" s="813" t="s">
        <v>637</v>
      </c>
      <c r="D72" s="813" t="s">
        <v>638</v>
      </c>
      <c r="E72" s="890">
        <v>0.5</v>
      </c>
      <c r="F72" s="877">
        <v>80</v>
      </c>
    </row>
    <row r="73" spans="1:6" s="873" customFormat="1" ht="24">
      <c r="A73" s="877">
        <v>13</v>
      </c>
      <c r="B73" s="3302"/>
      <c r="C73" s="813" t="s">
        <v>639</v>
      </c>
      <c r="D73" s="813" t="s">
        <v>640</v>
      </c>
      <c r="E73" s="890">
        <v>0.4</v>
      </c>
      <c r="F73" s="877">
        <v>60</v>
      </c>
    </row>
    <row r="74" spans="1:6" s="873" customFormat="1" ht="24">
      <c r="A74" s="877">
        <v>14</v>
      </c>
      <c r="B74" s="3302"/>
      <c r="C74" s="813" t="s">
        <v>641</v>
      </c>
      <c r="D74" s="813" t="s">
        <v>642</v>
      </c>
      <c r="E74" s="890">
        <v>0.2</v>
      </c>
      <c r="F74" s="877">
        <v>30</v>
      </c>
    </row>
    <row r="75" spans="1:6" s="873" customFormat="1" ht="24">
      <c r="A75" s="877">
        <v>15</v>
      </c>
      <c r="B75" s="3302"/>
      <c r="C75" s="813" t="s">
        <v>643</v>
      </c>
      <c r="D75" s="813" t="s">
        <v>644</v>
      </c>
      <c r="E75" s="890">
        <v>0.2</v>
      </c>
      <c r="F75" s="877">
        <v>30</v>
      </c>
    </row>
    <row r="76" spans="1:6" s="873" customFormat="1" ht="24">
      <c r="A76" s="877">
        <v>16</v>
      </c>
      <c r="B76" s="3302" t="s">
        <v>645</v>
      </c>
      <c r="C76" s="813" t="s">
        <v>646</v>
      </c>
      <c r="D76" s="813" t="s">
        <v>647</v>
      </c>
      <c r="E76" s="890">
        <v>0.5</v>
      </c>
      <c r="F76" s="877">
        <v>80</v>
      </c>
    </row>
    <row r="77" spans="1:6" s="873" customFormat="1" ht="24">
      <c r="A77" s="877">
        <v>17</v>
      </c>
      <c r="B77" s="3302"/>
      <c r="C77" s="813" t="s">
        <v>648</v>
      </c>
      <c r="D77" s="813" t="s">
        <v>649</v>
      </c>
      <c r="E77" s="890">
        <v>0.5</v>
      </c>
      <c r="F77" s="877">
        <v>80</v>
      </c>
    </row>
    <row r="78" spans="1:6" s="873" customFormat="1" ht="24">
      <c r="A78" s="877">
        <v>18</v>
      </c>
      <c r="B78" s="3302"/>
      <c r="C78" s="813" t="s">
        <v>650</v>
      </c>
      <c r="D78" s="813" t="s">
        <v>651</v>
      </c>
      <c r="E78" s="890">
        <v>0.2</v>
      </c>
      <c r="F78" s="877">
        <v>30</v>
      </c>
    </row>
    <row r="79" spans="1:6" s="873" customFormat="1" ht="24">
      <c r="A79" s="877">
        <v>19</v>
      </c>
      <c r="B79" s="3302"/>
      <c r="C79" s="813" t="s">
        <v>652</v>
      </c>
      <c r="D79" s="813" t="s">
        <v>653</v>
      </c>
      <c r="E79" s="890">
        <v>0.5</v>
      </c>
      <c r="F79" s="877">
        <v>80</v>
      </c>
    </row>
    <row r="80" spans="1:6" s="873" customFormat="1" ht="36">
      <c r="A80" s="877">
        <v>20</v>
      </c>
      <c r="B80" s="3302"/>
      <c r="C80" s="813" t="s">
        <v>654</v>
      </c>
      <c r="D80" s="813" t="s">
        <v>655</v>
      </c>
      <c r="E80" s="890">
        <v>0.2</v>
      </c>
      <c r="F80" s="877">
        <v>30</v>
      </c>
    </row>
    <row r="81" spans="1:6" s="873" customFormat="1" ht="36">
      <c r="A81" s="877">
        <v>21</v>
      </c>
      <c r="B81" s="3302"/>
      <c r="C81" s="813" t="s">
        <v>656</v>
      </c>
      <c r="D81" s="813" t="s">
        <v>657</v>
      </c>
      <c r="E81" s="890">
        <v>0.2</v>
      </c>
      <c r="F81" s="877">
        <v>30</v>
      </c>
    </row>
    <row r="82" spans="1:6" s="873" customFormat="1" ht="48">
      <c r="A82" s="877">
        <v>22</v>
      </c>
      <c r="B82" s="3302"/>
      <c r="C82" s="813" t="s">
        <v>658</v>
      </c>
      <c r="D82" s="813" t="s">
        <v>659</v>
      </c>
      <c r="E82" s="890">
        <v>0.2</v>
      </c>
      <c r="F82" s="877">
        <v>30</v>
      </c>
    </row>
    <row r="83" spans="1:6" s="873" customFormat="1" ht="48">
      <c r="A83" s="877">
        <v>23</v>
      </c>
      <c r="B83" s="3302"/>
      <c r="C83" s="813" t="s">
        <v>660</v>
      </c>
      <c r="D83" s="813" t="s">
        <v>661</v>
      </c>
      <c r="E83" s="890">
        <v>0.2</v>
      </c>
      <c r="F83" s="877">
        <v>30</v>
      </c>
    </row>
    <row r="84" spans="1:6" s="873" customFormat="1" ht="36">
      <c r="A84" s="877">
        <v>24</v>
      </c>
      <c r="B84" s="3302"/>
      <c r="C84" s="813" t="s">
        <v>662</v>
      </c>
      <c r="D84" s="813" t="s">
        <v>663</v>
      </c>
      <c r="E84" s="890">
        <v>0.2</v>
      </c>
      <c r="F84" s="877">
        <v>30</v>
      </c>
    </row>
    <row r="85" spans="1:6" s="873" customFormat="1" ht="36">
      <c r="A85" s="877">
        <v>25</v>
      </c>
      <c r="B85" s="3302"/>
      <c r="C85" s="813" t="s">
        <v>664</v>
      </c>
      <c r="D85" s="813" t="s">
        <v>665</v>
      </c>
      <c r="E85" s="890">
        <v>0.5</v>
      </c>
      <c r="F85" s="877">
        <v>80</v>
      </c>
    </row>
    <row r="86" spans="1:6" s="873" customFormat="1" ht="36">
      <c r="A86" s="877">
        <v>26</v>
      </c>
      <c r="B86" s="3302"/>
      <c r="C86" s="813" t="s">
        <v>666</v>
      </c>
      <c r="D86" s="813" t="s">
        <v>667</v>
      </c>
      <c r="E86" s="890">
        <v>0.2</v>
      </c>
      <c r="F86" s="877">
        <v>30</v>
      </c>
    </row>
    <row r="87" spans="1:6" s="873" customFormat="1" ht="36">
      <c r="A87" s="877">
        <v>27</v>
      </c>
      <c r="B87" s="3302"/>
      <c r="C87" s="813" t="s">
        <v>668</v>
      </c>
      <c r="D87" s="813" t="s">
        <v>669</v>
      </c>
      <c r="E87" s="890">
        <v>0.2</v>
      </c>
      <c r="F87" s="877">
        <v>30</v>
      </c>
    </row>
    <row r="88" spans="1:6" s="873" customFormat="1" ht="36">
      <c r="A88" s="877">
        <v>28</v>
      </c>
      <c r="B88" s="3302"/>
      <c r="C88" s="813" t="s">
        <v>670</v>
      </c>
      <c r="D88" s="813" t="s">
        <v>671</v>
      </c>
      <c r="E88" s="890">
        <v>0.2</v>
      </c>
      <c r="F88" s="877">
        <v>30</v>
      </c>
    </row>
    <row r="89" spans="1:6" s="873" customFormat="1" ht="24">
      <c r="A89" s="877">
        <v>29</v>
      </c>
      <c r="B89" s="3302"/>
      <c r="C89" s="813" t="s">
        <v>672</v>
      </c>
      <c r="D89" s="813" t="s">
        <v>673</v>
      </c>
      <c r="E89" s="890">
        <v>0.2</v>
      </c>
      <c r="F89" s="877">
        <v>30</v>
      </c>
    </row>
    <row r="90" spans="1:6" s="873" customFormat="1" ht="24">
      <c r="A90" s="877">
        <v>30</v>
      </c>
      <c r="B90" s="3302"/>
      <c r="C90" s="813" t="s">
        <v>674</v>
      </c>
      <c r="D90" s="813" t="s">
        <v>675</v>
      </c>
      <c r="E90" s="890">
        <v>0.2</v>
      </c>
      <c r="F90" s="877">
        <v>30</v>
      </c>
    </row>
    <row r="91" spans="1:6" s="873" customFormat="1" ht="36">
      <c r="A91" s="877">
        <v>31</v>
      </c>
      <c r="B91" s="3302"/>
      <c r="C91" s="813" t="s">
        <v>676</v>
      </c>
      <c r="D91" s="813" t="s">
        <v>677</v>
      </c>
      <c r="E91" s="890">
        <v>0.2</v>
      </c>
      <c r="F91" s="877">
        <v>30</v>
      </c>
    </row>
    <row r="92" spans="1:6" s="873" customFormat="1" ht="24">
      <c r="A92" s="877">
        <v>32</v>
      </c>
      <c r="B92" s="3302" t="s">
        <v>678</v>
      </c>
      <c r="C92" s="877" t="s">
        <v>679</v>
      </c>
      <c r="D92" s="813" t="s">
        <v>680</v>
      </c>
      <c r="E92" s="890">
        <v>0.2</v>
      </c>
      <c r="F92" s="877">
        <v>30</v>
      </c>
    </row>
    <row r="93" spans="1:6" s="873" customFormat="1" ht="36">
      <c r="A93" s="877">
        <v>33</v>
      </c>
      <c r="B93" s="3302"/>
      <c r="C93" s="877" t="s">
        <v>681</v>
      </c>
      <c r="D93" s="813" t="s">
        <v>682</v>
      </c>
      <c r="E93" s="890">
        <v>0.2</v>
      </c>
      <c r="F93" s="877">
        <v>30</v>
      </c>
    </row>
    <row r="94" spans="1:6" s="873" customFormat="1" ht="48">
      <c r="A94" s="877">
        <v>34</v>
      </c>
      <c r="B94" s="3302"/>
      <c r="C94" s="877" t="s">
        <v>683</v>
      </c>
      <c r="D94" s="813" t="s">
        <v>684</v>
      </c>
      <c r="E94" s="890">
        <v>0.2</v>
      </c>
      <c r="F94" s="877">
        <v>30</v>
      </c>
    </row>
    <row r="95" spans="1:6" s="873" customFormat="1" ht="36">
      <c r="A95" s="877">
        <v>35</v>
      </c>
      <c r="B95" s="3302"/>
      <c r="C95" s="877" t="s">
        <v>685</v>
      </c>
      <c r="D95" s="813" t="s">
        <v>686</v>
      </c>
      <c r="E95" s="890">
        <v>0.2</v>
      </c>
      <c r="F95" s="877">
        <v>30</v>
      </c>
    </row>
    <row r="96" spans="1:6" s="873" customFormat="1" ht="48">
      <c r="A96" s="877">
        <v>36</v>
      </c>
      <c r="B96" s="3302"/>
      <c r="C96" s="813" t="s">
        <v>687</v>
      </c>
      <c r="D96" s="813" t="s">
        <v>688</v>
      </c>
      <c r="E96" s="890">
        <v>0.2</v>
      </c>
      <c r="F96" s="877">
        <v>30</v>
      </c>
    </row>
    <row r="97" spans="1:6" s="873" customFormat="1" ht="36">
      <c r="A97" s="877">
        <v>37</v>
      </c>
      <c r="B97" s="3302"/>
      <c r="C97" s="877" t="s">
        <v>689</v>
      </c>
      <c r="D97" s="813" t="s">
        <v>690</v>
      </c>
      <c r="E97" s="890">
        <v>0.2</v>
      </c>
      <c r="F97" s="877">
        <v>30</v>
      </c>
    </row>
    <row r="98" spans="1:6" s="873" customFormat="1" ht="36">
      <c r="A98" s="877">
        <v>38</v>
      </c>
      <c r="B98" s="3302"/>
      <c r="C98" s="877" t="s">
        <v>691</v>
      </c>
      <c r="D98" s="813" t="s">
        <v>692</v>
      </c>
      <c r="E98" s="890">
        <v>0.2</v>
      </c>
      <c r="F98" s="877">
        <v>30</v>
      </c>
    </row>
    <row r="99" spans="1:6" s="873" customFormat="1" ht="36">
      <c r="A99" s="877">
        <v>39</v>
      </c>
      <c r="B99" s="3302" t="s">
        <v>693</v>
      </c>
      <c r="C99" s="877" t="s">
        <v>694</v>
      </c>
      <c r="D99" s="813" t="s">
        <v>695</v>
      </c>
      <c r="E99" s="890">
        <v>0.3</v>
      </c>
      <c r="F99" s="877">
        <v>50</v>
      </c>
    </row>
    <row r="100" spans="1:6" s="873" customFormat="1" ht="24">
      <c r="A100" s="877">
        <v>40</v>
      </c>
      <c r="B100" s="3302"/>
      <c r="C100" s="877" t="s">
        <v>696</v>
      </c>
      <c r="D100" s="813" t="s">
        <v>697</v>
      </c>
      <c r="E100" s="890">
        <v>0.2</v>
      </c>
      <c r="F100" s="877">
        <v>30</v>
      </c>
    </row>
    <row r="101" spans="1:6" s="873" customFormat="1" ht="36">
      <c r="A101" s="877">
        <v>41</v>
      </c>
      <c r="B101" s="3302"/>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302" t="s">
        <v>708</v>
      </c>
      <c r="C105" s="877" t="s">
        <v>709</v>
      </c>
      <c r="D105" s="813" t="s">
        <v>710</v>
      </c>
      <c r="E105" s="890">
        <v>0.2</v>
      </c>
      <c r="F105" s="877">
        <v>30</v>
      </c>
    </row>
    <row r="106" spans="1:6" s="873" customFormat="1" ht="36">
      <c r="A106" s="877">
        <v>46</v>
      </c>
      <c r="B106" s="3302"/>
      <c r="C106" s="877" t="s">
        <v>711</v>
      </c>
      <c r="D106" s="813" t="s">
        <v>712</v>
      </c>
      <c r="E106" s="890">
        <v>0.2</v>
      </c>
      <c r="F106" s="877">
        <v>30</v>
      </c>
    </row>
    <row r="107" spans="1:6" s="873" customFormat="1" ht="36">
      <c r="A107" s="877">
        <v>47</v>
      </c>
      <c r="B107" s="3302" t="s">
        <v>713</v>
      </c>
      <c r="C107" s="877" t="s">
        <v>714</v>
      </c>
      <c r="D107" s="813" t="s">
        <v>715</v>
      </c>
      <c r="E107" s="890">
        <v>0.3</v>
      </c>
      <c r="F107" s="877">
        <v>50</v>
      </c>
    </row>
    <row r="108" spans="1:6" s="873" customFormat="1" ht="36">
      <c r="A108" s="877">
        <v>48</v>
      </c>
      <c r="B108" s="3302"/>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302" t="s">
        <v>724</v>
      </c>
      <c r="C111" s="877" t="s">
        <v>725</v>
      </c>
      <c r="D111" s="813" t="s">
        <v>726</v>
      </c>
      <c r="E111" s="890">
        <v>0.2</v>
      </c>
      <c r="F111" s="877">
        <v>30</v>
      </c>
    </row>
    <row r="112" spans="1:6" s="873" customFormat="1" ht="24">
      <c r="A112" s="877">
        <v>52</v>
      </c>
      <c r="B112" s="3302"/>
      <c r="C112" s="877" t="s">
        <v>727</v>
      </c>
      <c r="D112" s="813" t="s">
        <v>728</v>
      </c>
      <c r="E112" s="890">
        <v>0.2</v>
      </c>
      <c r="F112" s="877">
        <v>30</v>
      </c>
    </row>
    <row r="113" spans="1:6" s="873" customFormat="1" ht="24">
      <c r="A113" s="877">
        <v>53</v>
      </c>
      <c r="B113" s="3302"/>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302" t="s">
        <v>737</v>
      </c>
      <c r="C116" s="877" t="s">
        <v>738</v>
      </c>
      <c r="D116" s="813" t="s">
        <v>739</v>
      </c>
      <c r="E116" s="890">
        <v>0.2</v>
      </c>
      <c r="F116" s="877">
        <v>30</v>
      </c>
    </row>
    <row r="117" spans="1:6" ht="36">
      <c r="A117" s="877">
        <v>57</v>
      </c>
      <c r="B117" s="3302"/>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1623</v>
      </c>
      <c r="B1" s="1956"/>
      <c r="C1" s="1956"/>
      <c r="D1" s="1956"/>
      <c r="E1" s="1956"/>
    </row>
    <row r="2" spans="1:5" ht="78" customHeight="1">
      <c r="A2" s="29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7"/>
      <c r="C2" s="2997"/>
      <c r="D2" s="2997"/>
      <c r="E2" s="2997"/>
    </row>
    <row r="3" spans="1:5" ht="18">
      <c r="A3" s="2998" t="str">
        <f>IF(项目基本情况!B9="房地产市场价值","估价结果一览表（市场价值不需“结果表-1”）","估价结果一览表")</f>
        <v>估价结果一览表</v>
      </c>
      <c r="B3" s="2998"/>
      <c r="C3" s="2998"/>
      <c r="D3" s="2998"/>
      <c r="E3" s="2998"/>
    </row>
    <row r="4" spans="1:5" ht="19.5" thickBot="1">
      <c r="A4" s="1958"/>
      <c r="B4" s="2996" t="s">
        <v>1632</v>
      </c>
      <c r="C4" s="2996"/>
      <c r="D4" s="2996"/>
      <c r="E4" s="1958"/>
    </row>
    <row r="5" spans="1:5" ht="16.5" thickTop="1">
      <c r="A5" s="1956"/>
      <c r="B5" s="2994" t="s">
        <v>1624</v>
      </c>
      <c r="C5" s="1959" t="s">
        <v>1625</v>
      </c>
      <c r="D5" s="1038">
        <f ca="1">结果表!H101</f>
        <v>90613</v>
      </c>
      <c r="E5" s="1956"/>
    </row>
    <row r="6" spans="1:5" ht="15.75">
      <c r="A6" s="1956"/>
      <c r="B6" s="2994"/>
      <c r="C6" s="1959" t="s">
        <v>1626</v>
      </c>
      <c r="D6" s="1038" t="str">
        <f ca="1">NUMBERSTRING(INT(D5*10000),2)&amp;"元整"</f>
        <v>玖亿零陆佰壹拾叁万元整</v>
      </c>
      <c r="E6" s="1956"/>
    </row>
    <row r="7" spans="1:5" ht="15.75">
      <c r="A7" s="1956"/>
      <c r="B7" s="2999"/>
      <c r="C7" s="1960" t="s">
        <v>1627</v>
      </c>
      <c r="D7" s="1039">
        <f ca="1">结果表!H102</f>
        <v>13458</v>
      </c>
      <c r="E7" s="1956"/>
    </row>
    <row r="8" spans="1:5" ht="15.75">
      <c r="A8" s="1956"/>
      <c r="B8" s="3000" t="str">
        <f>结果表!E103</f>
        <v>2.估价师知悉的除抵押担保权以外的法定优先受偿款</v>
      </c>
      <c r="C8" s="1961" t="s">
        <v>1628</v>
      </c>
      <c r="D8" s="1039">
        <f>结果表!H103</f>
        <v>0</v>
      </c>
      <c r="E8" s="1956"/>
    </row>
    <row r="9" spans="1:5" ht="15.75">
      <c r="A9" s="1956"/>
      <c r="B9" s="3002"/>
      <c r="C9" s="1959" t="s">
        <v>1626</v>
      </c>
      <c r="D9" s="1038" t="str">
        <f>NUMBERSTRING(INT(D8*10000),2)&amp;"元整"</f>
        <v>零元整</v>
      </c>
      <c r="E9" s="1956"/>
    </row>
    <row r="10" spans="1:5" ht="15">
      <c r="A10" s="1956"/>
      <c r="B10" s="1962" t="s">
        <v>1631</v>
      </c>
      <c r="C10" s="1963" t="s">
        <v>1629</v>
      </c>
      <c r="D10" s="1040">
        <f>结果表!H104</f>
        <v>0</v>
      </c>
      <c r="E10" s="1956"/>
    </row>
    <row r="11" spans="1:5" ht="15">
      <c r="A11" s="1956"/>
      <c r="B11" s="1962" t="s">
        <v>1633</v>
      </c>
      <c r="C11" s="1963" t="s">
        <v>1634</v>
      </c>
      <c r="D11" s="1040">
        <f>结果表!H105</f>
        <v>0</v>
      </c>
      <c r="E11" s="1956"/>
    </row>
    <row r="12" spans="1:5" ht="15">
      <c r="A12" s="1956"/>
      <c r="B12" s="1962" t="s">
        <v>1635</v>
      </c>
      <c r="C12" s="1963" t="s">
        <v>1634</v>
      </c>
      <c r="D12" s="1040">
        <f>结果表!H106</f>
        <v>0</v>
      </c>
      <c r="E12" s="1956"/>
    </row>
    <row r="13" spans="1:5" ht="15.75">
      <c r="A13" s="1956"/>
      <c r="B13" s="2993" t="str">
        <f>结果表!E107</f>
        <v>——</v>
      </c>
      <c r="C13" s="1964" t="s">
        <v>1625</v>
      </c>
      <c r="D13" s="1041" t="str">
        <f>结果表!H107</f>
        <v>——</v>
      </c>
      <c r="E13" s="1956"/>
    </row>
    <row r="14" spans="1:5" ht="15.75">
      <c r="A14" s="1956"/>
      <c r="B14" s="2994"/>
      <c r="C14" s="1959" t="s">
        <v>1626</v>
      </c>
      <c r="D14" s="1038" t="e">
        <f>NUMBERSTRING(INT(D13*10000),2)&amp;"元整"</f>
        <v>#VALUE!</v>
      </c>
      <c r="E14" s="1956"/>
    </row>
    <row r="15" spans="1:5" ht="15">
      <c r="A15" s="1956"/>
      <c r="B15" s="2999"/>
      <c r="C15" s="1960" t="s">
        <v>1636</v>
      </c>
      <c r="D15" s="1050" t="e">
        <f>结果表!H108</f>
        <v>#VALUE!</v>
      </c>
      <c r="E15" s="1956"/>
    </row>
    <row r="16" spans="1:5" ht="15">
      <c r="A16" s="1956"/>
      <c r="B16" s="3000" t="str">
        <f>结果表!E109</f>
        <v>3.抵押担保权已注销时的房地产抵押价值</v>
      </c>
      <c r="C16" s="1964" t="s">
        <v>1637</v>
      </c>
      <c r="D16" s="1965">
        <f ca="1">结果表!H109</f>
        <v>90613</v>
      </c>
      <c r="E16" s="1956"/>
    </row>
    <row r="17" spans="1:5" ht="15.75">
      <c r="A17" s="1956"/>
      <c r="B17" s="3001"/>
      <c r="C17" s="1959" t="s">
        <v>1638</v>
      </c>
      <c r="D17" s="1038" t="str">
        <f ca="1">NUMBERSTRING(INT(D16*10000),2)&amp;"元整"</f>
        <v>玖亿零陆佰壹拾叁万元整</v>
      </c>
      <c r="E17" s="1956"/>
    </row>
    <row r="18" spans="1:5" ht="15">
      <c r="A18" s="1956"/>
      <c r="B18" s="3002"/>
      <c r="C18" s="1960" t="s">
        <v>1627</v>
      </c>
      <c r="D18" s="1050">
        <f ca="1">结果表!H110</f>
        <v>13458</v>
      </c>
      <c r="E18" s="1956"/>
    </row>
    <row r="19" spans="1:5" ht="15.75">
      <c r="A19" s="1956"/>
      <c r="B19" s="2993" t="str">
        <f>结果表!E111</f>
        <v>——</v>
      </c>
      <c r="C19" s="1964" t="s">
        <v>1625</v>
      </c>
      <c r="D19" s="1039" t="str">
        <f>结果表!H111</f>
        <v>——</v>
      </c>
      <c r="E19" s="1956"/>
    </row>
    <row r="20" spans="1:5" ht="15.75">
      <c r="A20" s="1956"/>
      <c r="B20" s="2994"/>
      <c r="C20" s="1959" t="s">
        <v>1638</v>
      </c>
      <c r="D20" s="1038" t="e">
        <f>NUMBERSTRING(INT(D19*10000),2)&amp;"元整"</f>
        <v>#VALUE!</v>
      </c>
      <c r="E20" s="1956"/>
    </row>
    <row r="21" spans="1:5" ht="15.75" thickBot="1">
      <c r="A21" s="1956"/>
      <c r="B21" s="2995"/>
      <c r="C21" s="1966" t="s">
        <v>1636</v>
      </c>
      <c r="D21" s="1051" t="str">
        <f>结果表!H112</f>
        <v>——</v>
      </c>
      <c r="E21" s="1956"/>
    </row>
    <row r="22" spans="1:5" ht="15" thickTop="1">
      <c r="A22" s="1956"/>
      <c r="B22" s="1967" t="s">
        <v>1639</v>
      </c>
      <c r="C22" s="1956"/>
      <c r="D22" s="1956"/>
      <c r="E22" s="1956"/>
    </row>
    <row r="23" spans="1:5">
      <c r="A23" s="1956"/>
      <c r="B23" s="1956"/>
      <c r="C23" s="1956"/>
      <c r="D23" s="1956"/>
      <c r="E23" s="1956"/>
    </row>
    <row r="24" spans="1:5" ht="18.75">
      <c r="A24" s="1968"/>
      <c r="B24" s="1969" t="s">
        <v>1630</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5" t="s">
        <v>3008</v>
      </c>
    </row>
    <row r="2" spans="1:5" ht="15.75">
      <c r="A2" s="2902" t="s">
        <v>3000</v>
      </c>
      <c r="B2" s="2903" t="e">
        <f ca="1">SUMIF(B6:B13,"&lt;&gt;#ref!",B6:B13)</f>
        <v>#DIV/0!</v>
      </c>
      <c r="C2" s="2902" t="s">
        <v>3001</v>
      </c>
      <c r="D2" s="2902" t="s">
        <v>3002</v>
      </c>
      <c r="E2" s="2903" t="e">
        <f ca="1">SUM(E6:E13)</f>
        <v>#REF!</v>
      </c>
    </row>
    <row r="3" spans="1:5" ht="15.75">
      <c r="A3" s="2902" t="s">
        <v>3003</v>
      </c>
      <c r="B3" s="2903" t="e">
        <f ca="1">ROUND(B2*10000/E2,0)</f>
        <v>#DIV/0!</v>
      </c>
      <c r="C3" s="2902" t="s">
        <v>3009</v>
      </c>
      <c r="D3" s="2904"/>
      <c r="E3" s="2904"/>
    </row>
    <row r="4" spans="1:5" ht="15.75">
      <c r="A4" s="2905"/>
      <c r="B4" s="2904"/>
      <c r="C4" s="2904"/>
      <c r="D4" s="2904"/>
      <c r="E4" s="2904"/>
    </row>
    <row r="5" spans="1:5" ht="28.5">
      <c r="A5" s="2906" t="s">
        <v>3004</v>
      </c>
      <c r="B5" s="2902" t="s">
        <v>3005</v>
      </c>
      <c r="C5" s="2903"/>
      <c r="D5" s="2904"/>
      <c r="E5" s="2902" t="s">
        <v>3006</v>
      </c>
    </row>
    <row r="6" spans="1:5" ht="15.75">
      <c r="A6" s="2907" t="s">
        <v>3007</v>
      </c>
      <c r="B6" s="2903" t="e">
        <f ca="1">SUMIF(INDIRECT("'"&amp;A6&amp;"'"&amp;"!A:A"),"总价",INDIRECT("'"&amp;A6&amp;"'"&amp;"!B:B"))</f>
        <v>#DIV/0!</v>
      </c>
      <c r="C6" s="2902" t="s">
        <v>3001</v>
      </c>
      <c r="D6" s="2904"/>
      <c r="E6" s="2569">
        <f ca="1">SUMIF(INDIRECT("'"&amp;A6&amp;"'"&amp;"!C:C"),"建筑面积",INDIRECT("'"&amp;A6&amp;"'"&amp;"!D:D"))</f>
        <v>0</v>
      </c>
    </row>
    <row r="7" spans="1:5" ht="15.75">
      <c r="A7" s="2907"/>
      <c r="B7" s="2903" t="e">
        <f ca="1">SUMIF(INDIRECT("'"&amp;A7&amp;"'"&amp;"!A:A"),"总价",INDIRECT("'"&amp;A7&amp;"'"&amp;"!B:B"))</f>
        <v>#REF!</v>
      </c>
      <c r="C7" s="2902" t="s">
        <v>3001</v>
      </c>
      <c r="D7" s="2904"/>
      <c r="E7" s="2569" t="e">
        <f t="shared" ref="E7:E13" ca="1" si="0">SUMIF(INDIRECT("'"&amp;A7&amp;"'"&amp;"!C:C"),"建筑面积",INDIRECT("'"&amp;A7&amp;"'"&amp;"!D:D"))</f>
        <v>#REF!</v>
      </c>
    </row>
    <row r="8" spans="1:5" ht="15.75">
      <c r="A8" s="2907"/>
      <c r="B8" s="2903" t="e">
        <f t="shared" ref="B8:B13" ca="1" si="1">SUMIF(INDIRECT("'"&amp;A8&amp;"'"&amp;"!A:A"),"总价",INDIRECT("'"&amp;A8&amp;"'"&amp;"!B:B"))</f>
        <v>#REF!</v>
      </c>
      <c r="C8" s="2902" t="s">
        <v>3001</v>
      </c>
      <c r="D8" s="2904"/>
      <c r="E8" s="2569" t="e">
        <f t="shared" ca="1" si="0"/>
        <v>#REF!</v>
      </c>
    </row>
    <row r="9" spans="1:5" ht="15.75">
      <c r="A9" s="2907"/>
      <c r="B9" s="2903" t="e">
        <f t="shared" ca="1" si="1"/>
        <v>#REF!</v>
      </c>
      <c r="C9" s="2902" t="s">
        <v>3001</v>
      </c>
      <c r="D9" s="2904"/>
      <c r="E9" s="2569" t="e">
        <f t="shared" ca="1" si="0"/>
        <v>#REF!</v>
      </c>
    </row>
    <row r="10" spans="1:5" ht="15.75">
      <c r="A10" s="2907"/>
      <c r="B10" s="2903" t="e">
        <f t="shared" ca="1" si="1"/>
        <v>#REF!</v>
      </c>
      <c r="C10" s="2902" t="s">
        <v>3001</v>
      </c>
      <c r="D10" s="2904"/>
      <c r="E10" s="2569" t="e">
        <f t="shared" ca="1" si="0"/>
        <v>#REF!</v>
      </c>
    </row>
    <row r="11" spans="1:5" ht="15.75">
      <c r="A11" s="2907"/>
      <c r="B11" s="2903" t="e">
        <f t="shared" ca="1" si="1"/>
        <v>#REF!</v>
      </c>
      <c r="C11" s="2902" t="s">
        <v>3001</v>
      </c>
      <c r="D11" s="2904"/>
      <c r="E11" s="2569" t="e">
        <f t="shared" ca="1" si="0"/>
        <v>#REF!</v>
      </c>
    </row>
    <row r="12" spans="1:5" ht="15.75">
      <c r="A12" s="2907"/>
      <c r="B12" s="2903" t="e">
        <f t="shared" ca="1" si="1"/>
        <v>#REF!</v>
      </c>
      <c r="C12" s="2902" t="s">
        <v>3001</v>
      </c>
      <c r="D12" s="2904"/>
      <c r="E12" s="2569" t="e">
        <f t="shared" ca="1" si="0"/>
        <v>#REF!</v>
      </c>
    </row>
    <row r="13" spans="1:5" ht="15.75">
      <c r="A13" s="2907"/>
      <c r="B13" s="2903" t="e">
        <f t="shared" ca="1" si="1"/>
        <v>#REF!</v>
      </c>
      <c r="C13" s="2902" t="s">
        <v>3001</v>
      </c>
      <c r="D13" s="2904"/>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2" customFormat="1">
      <c r="B1" s="3308" t="s">
        <v>1150</v>
      </c>
      <c r="C1" s="3308"/>
      <c r="D1" s="3308"/>
      <c r="E1" s="3308"/>
      <c r="F1" s="3308"/>
      <c r="G1" s="3304" t="s">
        <v>1151</v>
      </c>
      <c r="H1" s="3304"/>
      <c r="I1" s="3304"/>
      <c r="J1" s="3304"/>
      <c r="K1" s="3304"/>
      <c r="L1" s="3304"/>
      <c r="N1" s="3304" t="s">
        <v>1152</v>
      </c>
      <c r="O1" s="3304"/>
      <c r="P1" s="3304"/>
      <c r="Q1" s="3304"/>
      <c r="R1" s="1443"/>
      <c r="S1" s="3304" t="s">
        <v>1153</v>
      </c>
      <c r="T1" s="3304"/>
      <c r="U1" s="3304"/>
      <c r="V1" s="3304"/>
      <c r="X1" s="3303" t="s">
        <v>1154</v>
      </c>
      <c r="Y1" s="3304"/>
      <c r="Z1" s="3304"/>
      <c r="AA1" s="3304"/>
      <c r="AB1" s="3304"/>
      <c r="AD1" s="3303" t="s">
        <v>1155</v>
      </c>
      <c r="AE1" s="3304"/>
      <c r="AF1" s="3304"/>
      <c r="AG1" s="3304"/>
      <c r="AH1" s="3304"/>
    </row>
    <row r="2" spans="1:34" s="1444" customFormat="1" ht="14.25" thickBot="1">
      <c r="B2" s="1445" t="s">
        <v>1156</v>
      </c>
      <c r="C2" s="1445" t="s">
        <v>1157</v>
      </c>
      <c r="D2" s="1446" t="s">
        <v>1158</v>
      </c>
      <c r="E2" s="1446" t="s">
        <v>1159</v>
      </c>
      <c r="F2" s="1445" t="s">
        <v>1160</v>
      </c>
      <c r="G2" s="1447"/>
      <c r="H2" s="1448"/>
      <c r="I2" s="1445" t="s">
        <v>1156</v>
      </c>
      <c r="J2" s="1446" t="s">
        <v>1386</v>
      </c>
      <c r="K2" s="1446" t="s">
        <v>751</v>
      </c>
      <c r="L2" s="1445" t="s">
        <v>1160</v>
      </c>
      <c r="N2" s="1445" t="s">
        <v>1156</v>
      </c>
      <c r="O2" s="1446" t="s">
        <v>1386</v>
      </c>
      <c r="P2" s="1446" t="s">
        <v>751</v>
      </c>
      <c r="Q2" s="1445" t="s">
        <v>1160</v>
      </c>
      <c r="R2" s="1449"/>
      <c r="S2" s="1445" t="s">
        <v>1156</v>
      </c>
      <c r="T2" s="1446" t="s">
        <v>1386</v>
      </c>
      <c r="U2" s="1446" t="s">
        <v>751</v>
      </c>
      <c r="V2" s="1445" t="s">
        <v>1160</v>
      </c>
      <c r="X2" s="1445" t="s">
        <v>1156</v>
      </c>
      <c r="Y2" s="1445" t="s">
        <v>1157</v>
      </c>
      <c r="Z2" s="1446" t="s">
        <v>1158</v>
      </c>
      <c r="AA2" s="1446" t="s">
        <v>1159</v>
      </c>
      <c r="AB2" s="1445" t="s">
        <v>1160</v>
      </c>
      <c r="AD2" s="1445" t="s">
        <v>1156</v>
      </c>
      <c r="AE2" s="1445" t="s">
        <v>1157</v>
      </c>
      <c r="AF2" s="1446" t="s">
        <v>1158</v>
      </c>
      <c r="AG2" s="1446" t="s">
        <v>1159</v>
      </c>
      <c r="AH2" s="1445" t="s">
        <v>1160</v>
      </c>
    </row>
    <row r="3" spans="1:34" s="1450" customFormat="1" ht="14.25">
      <c r="B3" s="1451"/>
      <c r="C3" s="1451"/>
      <c r="D3" s="1452"/>
      <c r="E3" s="1452"/>
      <c r="F3" s="1451"/>
      <c r="G3" s="1453"/>
      <c r="H3" s="1454"/>
      <c r="I3" s="2916"/>
      <c r="J3" s="2916"/>
      <c r="K3" s="2916"/>
      <c r="L3" s="2916"/>
      <c r="N3" s="1453"/>
      <c r="O3" s="1455"/>
      <c r="P3" s="1455"/>
      <c r="Q3" s="1455"/>
      <c r="R3" s="1455"/>
      <c r="S3" s="1453"/>
      <c r="T3" s="1455"/>
      <c r="U3" s="1455"/>
      <c r="V3" s="1455"/>
      <c r="X3" s="1456">
        <f>ROUND(SUMPRODUCT(PRODUCT(1+N3:N$19)),4)</f>
        <v>1.4742</v>
      </c>
      <c r="Y3" s="1456">
        <f>ROUND(SUMPRODUCT(PRODUCT(1+O3:O$19)),4)</f>
        <v>1.2875000000000001</v>
      </c>
      <c r="Z3" s="1456">
        <f t="shared" ref="Z3:Z17" si="0">Y3</f>
        <v>1.2875000000000001</v>
      </c>
      <c r="AA3" s="1456">
        <f>ROUND(SUMPRODUCT(PRODUCT(1+P3:P$19)),4)</f>
        <v>1.5399</v>
      </c>
      <c r="AB3" s="1456">
        <f>ROUND(SUMPRODUCT(PRODUCT(1+Q3:Q$19)),4)</f>
        <v>1.2475000000000001</v>
      </c>
      <c r="AD3" s="1457">
        <f>ROUND(AVERAGE(I3:I$20)/100,4)</f>
        <v>2.4899999999999999E-2</v>
      </c>
      <c r="AE3" s="1457">
        <f>ROUND(AVERAGE(J3:J$20)/100,4)</f>
        <v>1.6400000000000001E-2</v>
      </c>
      <c r="AF3" s="1457">
        <f t="shared" ref="AF3:AF18" si="1">AE3</f>
        <v>1.6400000000000001E-2</v>
      </c>
      <c r="AG3" s="1457">
        <f>ROUND(AVERAGE(K3:K$20)/100,4)</f>
        <v>2.7799999999999998E-2</v>
      </c>
      <c r="AH3" s="1457">
        <f>ROUND(AVERAGE(L3:L$20)/100,4)</f>
        <v>1.3899999999999999E-2</v>
      </c>
    </row>
    <row r="4" spans="1:34" s="1450" customFormat="1">
      <c r="A4" s="1458" t="s">
        <v>3045</v>
      </c>
      <c r="B4" s="1475">
        <f t="shared" ref="B4" si="2">B5*(1+N4)</f>
        <v>453.57903691012211</v>
      </c>
      <c r="C4" s="1475">
        <f t="shared" ref="C4" si="3">C5*(1+O4)</f>
        <v>331.18001284964259</v>
      </c>
      <c r="D4" s="1475">
        <f t="shared" ref="D4" si="4">C4</f>
        <v>331.18001284964259</v>
      </c>
      <c r="E4" s="1475">
        <f t="shared" ref="E4" si="5">E5*(1+P4)</f>
        <v>650.68458238034486</v>
      </c>
      <c r="F4" s="1475">
        <f t="shared" ref="F4" si="6">F5*(1+Q4)</f>
        <v>287.29097305893981</v>
      </c>
      <c r="G4" s="1453">
        <v>2018</v>
      </c>
      <c r="H4" s="1454">
        <v>1</v>
      </c>
      <c r="I4" s="2916">
        <f>ROUND(AVERAGE(I5:I20),2)</f>
        <v>2.4900000000000002</v>
      </c>
      <c r="J4" s="2916">
        <f t="shared" ref="J4:L4" si="7">ROUND(AVERAGE(J5:J20),2)</f>
        <v>1.64</v>
      </c>
      <c r="K4" s="2916">
        <f t="shared" si="7"/>
        <v>2.78</v>
      </c>
      <c r="L4" s="2916">
        <f t="shared" si="7"/>
        <v>1.39</v>
      </c>
      <c r="N4" s="1470">
        <f t="shared" ref="N4:N9" si="8">I4/100</f>
        <v>2.4900000000000002E-2</v>
      </c>
      <c r="O4" s="1471">
        <f t="shared" ref="O4" si="9">J4/100</f>
        <v>1.6399999999999998E-2</v>
      </c>
      <c r="P4" s="1471">
        <f t="shared" ref="P4" si="10">K4/100</f>
        <v>2.7799999999999998E-2</v>
      </c>
      <c r="Q4" s="1471">
        <f t="shared" ref="Q4" si="11">L4/100</f>
        <v>1.3899999999999999E-2</v>
      </c>
      <c r="R4" s="1455"/>
      <c r="S4" s="1453"/>
      <c r="T4" s="1455"/>
      <c r="U4" s="1455"/>
      <c r="V4" s="1455"/>
      <c r="X4" s="1456"/>
      <c r="Y4" s="1456"/>
      <c r="Z4" s="1456"/>
      <c r="AA4" s="1456"/>
      <c r="AB4" s="1456"/>
      <c r="AD4" s="1457"/>
      <c r="AE4" s="1457"/>
      <c r="AF4" s="1457"/>
      <c r="AG4" s="1457"/>
      <c r="AH4" s="1457"/>
    </row>
    <row r="5" spans="1:34" s="1728" customFormat="1">
      <c r="A5" s="1726" t="s">
        <v>3043</v>
      </c>
      <c r="B5" s="1788">
        <f t="shared" ref="B5" si="12">B6*(1+N5)</f>
        <v>442.55931008890832</v>
      </c>
      <c r="C5" s="1788">
        <f t="shared" ref="C5" si="13">C6*(1+O5)</f>
        <v>325.83629756950273</v>
      </c>
      <c r="D5" s="1788">
        <f t="shared" ref="D5" si="14">C5</f>
        <v>325.83629756950273</v>
      </c>
      <c r="E5" s="1788">
        <f t="shared" ref="E5" si="15">E6*(1+P5)</f>
        <v>633.08482426575677</v>
      </c>
      <c r="F5" s="1788">
        <f t="shared" ref="F5" si="16">F6*(1+Q5)</f>
        <v>283.35237504580311</v>
      </c>
      <c r="G5" s="2913">
        <v>2017</v>
      </c>
      <c r="H5" s="1727">
        <v>4</v>
      </c>
      <c r="I5" s="2917">
        <f>ROUND(AVERAGE(I6:I20),2)</f>
        <v>2.4900000000000002</v>
      </c>
      <c r="J5" s="2917">
        <f>ROUND(AVERAGE(J6:J20),2)</f>
        <v>1.64</v>
      </c>
      <c r="K5" s="2917">
        <f>ROUND(AVERAGE(K6:K20),2)</f>
        <v>2.78</v>
      </c>
      <c r="L5" s="2917">
        <f>ROUND(AVERAGE(L6:L20),2)</f>
        <v>1.39</v>
      </c>
      <c r="N5" s="1464">
        <f t="shared" si="8"/>
        <v>2.4900000000000002E-2</v>
      </c>
      <c r="O5" s="1464">
        <f t="shared" ref="O5" si="17">J5/100</f>
        <v>1.6399999999999998E-2</v>
      </c>
      <c r="P5" s="1464">
        <f t="shared" ref="P5" si="18">K5/100</f>
        <v>2.7799999999999998E-2</v>
      </c>
      <c r="Q5" s="1464">
        <f t="shared" ref="Q5" si="19">L5/100</f>
        <v>1.3899999999999999E-2</v>
      </c>
      <c r="R5" s="1729"/>
      <c r="S5" s="1730"/>
      <c r="T5" s="1729"/>
      <c r="U5" s="1729"/>
      <c r="V5" s="1729"/>
      <c r="W5" s="1465"/>
      <c r="X5" s="1723">
        <f>ROUND(SUMPRODUCT(PRODUCT(1+N5:N$19)),4)</f>
        <v>1.4383999999999999</v>
      </c>
      <c r="Y5" s="1723">
        <f>ROUND(SUMPRODUCT(PRODUCT(1+O5:O$19)),4)</f>
        <v>1.2667999999999999</v>
      </c>
      <c r="Z5" s="1723">
        <f t="shared" si="0"/>
        <v>1.2667999999999999</v>
      </c>
      <c r="AA5" s="1723">
        <f>ROUND(SUMPRODUCT(PRODUCT(1+P5:P$19)),4)</f>
        <v>1.4982</v>
      </c>
      <c r="AB5" s="1723">
        <f>ROUND(SUMPRODUCT(PRODUCT(1+Q5:Q$19)),4)</f>
        <v>1.2303999999999999</v>
      </c>
      <c r="AD5" s="1466">
        <f>ROUND(AVERAGE(I5:I$20)/100,4)</f>
        <v>2.4899999999999999E-2</v>
      </c>
      <c r="AE5" s="1466">
        <f>ROUND(AVERAGE(J5:J$20)/100,4)</f>
        <v>1.6400000000000001E-2</v>
      </c>
      <c r="AF5" s="1466">
        <f t="shared" si="1"/>
        <v>1.6400000000000001E-2</v>
      </c>
      <c r="AG5" s="1466">
        <f>ROUND(AVERAGE(K5:K$20)/100,4)</f>
        <v>2.7799999999999998E-2</v>
      </c>
      <c r="AH5" s="1466">
        <f>ROUND(AVERAGE(L5:L$20)/100,4)</f>
        <v>1.3899999999999999E-2</v>
      </c>
    </row>
    <row r="6" spans="1:34" s="1463" customFormat="1" ht="13.5" thickBot="1">
      <c r="A6" s="1458" t="s">
        <v>3044</v>
      </c>
      <c r="B6" s="1475">
        <f t="shared" ref="B6:B7" si="20">B7*(1+N6)</f>
        <v>431.80730811680002</v>
      </c>
      <c r="C6" s="1475">
        <f t="shared" ref="C6:C7" si="21">C7*(1+O6)</f>
        <v>320.57880516480003</v>
      </c>
      <c r="D6" s="1475">
        <f t="shared" ref="D6:D7" si="22">C6</f>
        <v>320.57880516480003</v>
      </c>
      <c r="E6" s="1475">
        <f t="shared" ref="E6:E7" si="23">E7*(1+P6)</f>
        <v>615.96110553196797</v>
      </c>
      <c r="F6" s="1475">
        <f t="shared" ref="F6:F7" si="24">F7*(1+Q6)</f>
        <v>279.46777300108801</v>
      </c>
      <c r="G6" s="2915"/>
      <c r="H6" s="1461">
        <v>3</v>
      </c>
      <c r="I6" s="1461">
        <v>2.98</v>
      </c>
      <c r="J6" s="1461">
        <v>2.11</v>
      </c>
      <c r="K6" s="1461">
        <v>3.24</v>
      </c>
      <c r="L6" s="1476">
        <v>1.72</v>
      </c>
      <c r="M6" s="1469"/>
      <c r="N6" s="1470">
        <f t="shared" si="8"/>
        <v>2.98E-2</v>
      </c>
      <c r="O6" s="1471">
        <f t="shared" ref="O6" si="25">J6/100</f>
        <v>2.1099999999999997E-2</v>
      </c>
      <c r="P6" s="1471">
        <f t="shared" ref="P6" si="26">K6/100</f>
        <v>3.2400000000000005E-2</v>
      </c>
      <c r="Q6" s="1471">
        <f t="shared" ref="Q6" si="27">L6/100</f>
        <v>1.72E-2</v>
      </c>
      <c r="R6" s="1472"/>
      <c r="S6" s="1470"/>
      <c r="T6" s="1471"/>
      <c r="U6" s="1471"/>
      <c r="V6" s="1471"/>
      <c r="W6" s="1787" t="s">
        <v>1162</v>
      </c>
      <c r="X6" s="1785">
        <f>ROUND(SUMPRODUCT(PRODUCT(1+N6:N$19)),4)</f>
        <v>1.4034</v>
      </c>
      <c r="Y6" s="1785">
        <f>ROUND(SUMPRODUCT(PRODUCT(1+O6:O$19)),4)</f>
        <v>1.2463</v>
      </c>
      <c r="Z6" s="1785">
        <f t="shared" si="0"/>
        <v>1.2463</v>
      </c>
      <c r="AA6" s="1785">
        <f>ROUND(SUMPRODUCT(PRODUCT(1+P6:P$19)),4)</f>
        <v>1.4577</v>
      </c>
      <c r="AB6" s="1785">
        <f>ROUND(SUMPRODUCT(PRODUCT(1+Q6:Q$19)),4)</f>
        <v>1.2136</v>
      </c>
      <c r="AC6" s="1787"/>
      <c r="AD6" s="1786">
        <f>ROUND(AVERAGE(I6:I$20)/100,4)</f>
        <v>2.4899999999999999E-2</v>
      </c>
      <c r="AE6" s="1786">
        <f>ROUND(AVERAGE(J6:J$20)/100,4)</f>
        <v>1.6400000000000001E-2</v>
      </c>
      <c r="AF6" s="1786">
        <f t="shared" si="1"/>
        <v>1.6400000000000001E-2</v>
      </c>
      <c r="AG6" s="1786">
        <f>ROUND(AVERAGE(K6:K$20)/100,4)</f>
        <v>2.7799999999999998E-2</v>
      </c>
      <c r="AH6" s="1786">
        <f>ROUND(AVERAGE(L6:L$20)/100,4)</f>
        <v>1.3899999999999999E-2</v>
      </c>
    </row>
    <row r="7" spans="1:34" s="1728" customFormat="1">
      <c r="A7" s="1458" t="s">
        <v>1387</v>
      </c>
      <c r="B7" s="1475">
        <f t="shared" si="20"/>
        <v>419.31181600000002</v>
      </c>
      <c r="C7" s="1475">
        <f t="shared" si="21"/>
        <v>313.95436800000004</v>
      </c>
      <c r="D7" s="1475">
        <f t="shared" si="22"/>
        <v>313.95436800000004</v>
      </c>
      <c r="E7" s="1475">
        <f t="shared" si="23"/>
        <v>596.63028431999999</v>
      </c>
      <c r="F7" s="1475">
        <f t="shared" si="24"/>
        <v>274.74220703999998</v>
      </c>
      <c r="G7" s="2914"/>
      <c r="H7" s="1462">
        <v>2</v>
      </c>
      <c r="I7" s="1462">
        <v>3.4</v>
      </c>
      <c r="J7" s="1462">
        <v>2</v>
      </c>
      <c r="K7" s="1462">
        <v>3.82</v>
      </c>
      <c r="L7" s="1477">
        <v>1.68</v>
      </c>
      <c r="M7" s="1469"/>
      <c r="N7" s="1470">
        <f t="shared" si="8"/>
        <v>3.4000000000000002E-2</v>
      </c>
      <c r="O7" s="1471">
        <f t="shared" ref="O7" si="28">J7/100</f>
        <v>0.02</v>
      </c>
      <c r="P7" s="1471">
        <f t="shared" ref="P7" si="29">K7/100</f>
        <v>3.8199999999999998E-2</v>
      </c>
      <c r="Q7" s="1471">
        <f t="shared" ref="Q7" si="30">L7/100</f>
        <v>1.6799999999999999E-2</v>
      </c>
      <c r="R7" s="1472"/>
      <c r="S7" s="1473"/>
      <c r="T7" s="1474"/>
      <c r="U7" s="1474"/>
      <c r="V7" s="1474"/>
      <c r="W7" s="1450"/>
      <c r="X7" s="1785">
        <f>ROUND(SUMPRODUCT(PRODUCT(1+N7:N$19)),4)</f>
        <v>1.3628</v>
      </c>
      <c r="Y7" s="1785">
        <f>ROUND(SUMPRODUCT(PRODUCT(1+O7:O$19)),4)</f>
        <v>1.2205999999999999</v>
      </c>
      <c r="Z7" s="1785">
        <f t="shared" si="0"/>
        <v>1.2205999999999999</v>
      </c>
      <c r="AA7" s="1785">
        <f>ROUND(SUMPRODUCT(PRODUCT(1+P7:P$19)),4)</f>
        <v>1.4118999999999999</v>
      </c>
      <c r="AB7" s="1785">
        <f>ROUND(SUMPRODUCT(PRODUCT(1+Q7:Q$19)),4)</f>
        <v>1.1930000000000001</v>
      </c>
      <c r="AC7" s="1450"/>
      <c r="AD7" s="1786">
        <f>ROUND(AVERAGE(I7:I$20)/100,4)</f>
        <v>2.46E-2</v>
      </c>
      <c r="AE7" s="1786">
        <f>ROUND(AVERAGE(J7:J$20)/100,4)</f>
        <v>1.6E-2</v>
      </c>
      <c r="AF7" s="1786">
        <f t="shared" si="1"/>
        <v>1.6E-2</v>
      </c>
      <c r="AG7" s="1786">
        <f>ROUND(AVERAGE(K7:K$20)/100,4)</f>
        <v>2.75E-2</v>
      </c>
      <c r="AH7" s="1786">
        <f>ROUND(AVERAGE(L7:L$20)/100,4)</f>
        <v>1.37E-2</v>
      </c>
    </row>
    <row r="8" spans="1:34" s="1463" customFormat="1" ht="13.5" thickBot="1">
      <c r="A8" s="1458" t="s">
        <v>1161</v>
      </c>
      <c r="B8" s="1475">
        <f>B9*(1+N8)</f>
        <v>405.524</v>
      </c>
      <c r="C8" s="1475">
        <f>C9*(1+O8)</f>
        <v>307.79840000000002</v>
      </c>
      <c r="D8" s="1475">
        <f>C8</f>
        <v>307.79840000000002</v>
      </c>
      <c r="E8" s="1475">
        <f>E9*(1+P8)</f>
        <v>574.67759999999998</v>
      </c>
      <c r="F8" s="1475">
        <f>F9*(1+Q8)</f>
        <v>270.20280000000002</v>
      </c>
      <c r="G8" s="2915"/>
      <c r="H8" s="1461">
        <v>1</v>
      </c>
      <c r="I8" s="1461">
        <v>3.45</v>
      </c>
      <c r="J8" s="1461">
        <v>1.92</v>
      </c>
      <c r="K8" s="1461">
        <v>3.92</v>
      </c>
      <c r="L8" s="1476">
        <v>1.58</v>
      </c>
      <c r="M8" s="1469"/>
      <c r="N8" s="1470">
        <f t="shared" si="8"/>
        <v>3.4500000000000003E-2</v>
      </c>
      <c r="O8" s="1471">
        <f t="shared" ref="O8:Q23" si="31">J8/100</f>
        <v>1.9199999999999998E-2</v>
      </c>
      <c r="P8" s="1471">
        <f t="shared" si="31"/>
        <v>3.9199999999999999E-2</v>
      </c>
      <c r="Q8" s="1471">
        <f t="shared" si="31"/>
        <v>1.5800000000000002E-2</v>
      </c>
      <c r="R8" s="1472"/>
      <c r="S8" s="1470">
        <f>B8/B9-1</f>
        <v>3.4499999999999975E-2</v>
      </c>
      <c r="T8" s="1471">
        <f t="shared" ref="T8:V8" si="32">C8/C9-1</f>
        <v>1.9200000000000106E-2</v>
      </c>
      <c r="U8" s="1471">
        <f t="shared" si="32"/>
        <v>1.9200000000000106E-2</v>
      </c>
      <c r="V8" s="1471">
        <f t="shared" si="32"/>
        <v>3.9199999999999902E-2</v>
      </c>
      <c r="W8" s="1787"/>
      <c r="X8" s="1785">
        <f>ROUND(SUMPRODUCT(PRODUCT(1+N8:N$19)),4)</f>
        <v>1.3180000000000001</v>
      </c>
      <c r="Y8" s="1785">
        <f>ROUND(SUMPRODUCT(PRODUCT(1+O8:O$19)),4)</f>
        <v>1.1966000000000001</v>
      </c>
      <c r="Z8" s="1785">
        <f t="shared" si="0"/>
        <v>1.1966000000000001</v>
      </c>
      <c r="AA8" s="1785">
        <f>ROUND(SUMPRODUCT(PRODUCT(1+P8:P$19)),4)</f>
        <v>1.36</v>
      </c>
      <c r="AB8" s="1785">
        <f>ROUND(SUMPRODUCT(PRODUCT(1+Q8:Q$19)),4)</f>
        <v>1.1733</v>
      </c>
      <c r="AC8" s="1787"/>
      <c r="AD8" s="1786">
        <f>ROUND(AVERAGE(I8:I$20)/100,4)</f>
        <v>2.3900000000000001E-2</v>
      </c>
      <c r="AE8" s="1786">
        <f>ROUND(AVERAGE(J8:J$20)/100,4)</f>
        <v>1.5699999999999999E-2</v>
      </c>
      <c r="AF8" s="1786">
        <f t="shared" si="1"/>
        <v>1.5699999999999999E-2</v>
      </c>
      <c r="AG8" s="1786">
        <f>ROUND(AVERAGE(K8:K$20)/100,4)</f>
        <v>2.6599999999999999E-2</v>
      </c>
      <c r="AH8" s="1786">
        <f>ROUND(AVERAGE(L8:L$20)/100,4)</f>
        <v>1.34E-2</v>
      </c>
    </row>
    <row r="9" spans="1:34">
      <c r="A9" s="1458" t="s">
        <v>154</v>
      </c>
      <c r="B9" s="1467">
        <v>392</v>
      </c>
      <c r="C9" s="1467">
        <v>302</v>
      </c>
      <c r="D9" s="1467">
        <f>C9</f>
        <v>302</v>
      </c>
      <c r="E9" s="1467">
        <v>553</v>
      </c>
      <c r="F9" s="1468">
        <v>266</v>
      </c>
      <c r="G9" s="3309">
        <v>2016</v>
      </c>
      <c r="H9" s="1459">
        <v>4</v>
      </c>
      <c r="I9" s="1459">
        <v>4.5599999999999996</v>
      </c>
      <c r="J9" s="1459">
        <v>2.15</v>
      </c>
      <c r="K9" s="1459">
        <v>5.32</v>
      </c>
      <c r="L9" s="1460">
        <v>1.57</v>
      </c>
      <c r="N9" s="1470">
        <f t="shared" si="8"/>
        <v>4.5599999999999995E-2</v>
      </c>
      <c r="O9" s="1471">
        <f t="shared" si="31"/>
        <v>2.1499999999999998E-2</v>
      </c>
      <c r="P9" s="1471">
        <f t="shared" si="31"/>
        <v>5.3200000000000004E-2</v>
      </c>
      <c r="Q9" s="1471">
        <f t="shared" si="31"/>
        <v>1.5700000000000002E-2</v>
      </c>
      <c r="R9" s="1472"/>
      <c r="S9" s="1473"/>
      <c r="T9" s="1474"/>
      <c r="U9" s="1474"/>
      <c r="V9" s="1474"/>
      <c r="X9" s="1456">
        <f>ROUND(SUMPRODUCT(PRODUCT(1+N9:N$19)),4)</f>
        <v>1.274</v>
      </c>
      <c r="Y9" s="1456">
        <f>ROUND(SUMPRODUCT(PRODUCT(1+O9:O$19)),4)</f>
        <v>1.1740999999999999</v>
      </c>
      <c r="Z9" s="1456">
        <f t="shared" si="0"/>
        <v>1.1740999999999999</v>
      </c>
      <c r="AA9" s="1456">
        <f>ROUND(SUMPRODUCT(PRODUCT(1+P9:P$19)),4)</f>
        <v>1.3087</v>
      </c>
      <c r="AB9" s="1456">
        <f>ROUND(SUMPRODUCT(PRODUCT(1+Q9:Q$19)),4)</f>
        <v>1.1551</v>
      </c>
      <c r="AD9" s="1457">
        <f>ROUND(AVERAGE(I9:I$20)/100,4)</f>
        <v>2.3E-2</v>
      </c>
      <c r="AE9" s="1457">
        <f>ROUND(AVERAGE(J9:J$20)/100,4)</f>
        <v>1.55E-2</v>
      </c>
      <c r="AF9" s="1457">
        <f t="shared" si="1"/>
        <v>1.55E-2</v>
      </c>
      <c r="AG9" s="1457">
        <f>ROUND(AVERAGE(K9:K$20)/100,4)</f>
        <v>2.5600000000000001E-2</v>
      </c>
      <c r="AH9" s="1457">
        <f>ROUND(AVERAGE(L9:L$20)/100,4)</f>
        <v>1.32E-2</v>
      </c>
    </row>
    <row r="10" spans="1:34">
      <c r="A10" s="1458" t="s">
        <v>153</v>
      </c>
      <c r="B10" s="1475">
        <f t="shared" ref="B10:C12" si="33">B9/(1+N9)</f>
        <v>374.90436113236416</v>
      </c>
      <c r="C10" s="1475">
        <f t="shared" si="33"/>
        <v>295.64366128242779</v>
      </c>
      <c r="D10" s="1475">
        <f t="shared" ref="D10:D69" si="34">C10</f>
        <v>295.64366128242779</v>
      </c>
      <c r="E10" s="1475">
        <f t="shared" ref="E10:F12" si="35">E9/(1+P9)</f>
        <v>525.06646410938095</v>
      </c>
      <c r="F10" s="1475">
        <f t="shared" si="35"/>
        <v>261.88835286009646</v>
      </c>
      <c r="G10" s="3306"/>
      <c r="H10" s="1461">
        <v>3</v>
      </c>
      <c r="I10" s="1461">
        <v>4.12</v>
      </c>
      <c r="J10" s="1461">
        <v>2</v>
      </c>
      <c r="K10" s="1461">
        <v>4.79</v>
      </c>
      <c r="L10" s="1476">
        <v>1.97</v>
      </c>
      <c r="N10" s="1470">
        <f t="shared" ref="N10:Q44" si="36">I10/100</f>
        <v>4.1200000000000001E-2</v>
      </c>
      <c r="O10" s="1471">
        <f t="shared" si="31"/>
        <v>0.02</v>
      </c>
      <c r="P10" s="1471">
        <f t="shared" si="31"/>
        <v>4.7899999999999998E-2</v>
      </c>
      <c r="Q10" s="1471">
        <f t="shared" si="31"/>
        <v>1.9699999999999999E-2</v>
      </c>
      <c r="R10" s="1472"/>
      <c r="S10" s="1470"/>
      <c r="T10" s="1471"/>
      <c r="U10" s="1471"/>
      <c r="V10" s="1471"/>
      <c r="X10" s="1456">
        <f>ROUND(SUMPRODUCT(PRODUCT(1+N10:N$19)),4)</f>
        <v>1.2184999999999999</v>
      </c>
      <c r="Y10" s="1456">
        <f>ROUND(SUMPRODUCT(PRODUCT(1+O10:O$19)),4)</f>
        <v>1.1494</v>
      </c>
      <c r="Z10" s="1456">
        <f t="shared" si="0"/>
        <v>1.1494</v>
      </c>
      <c r="AA10" s="1456">
        <f>ROUND(SUMPRODUCT(PRODUCT(1+P10:P$19)),4)</f>
        <v>1.2425999999999999</v>
      </c>
      <c r="AB10" s="1456">
        <f>ROUND(SUMPRODUCT(PRODUCT(1+Q10:Q$19)),4)</f>
        <v>1.1372</v>
      </c>
      <c r="AD10" s="1457">
        <f>ROUND(AVERAGE(I10:I$20)/100,4)</f>
        <v>2.0899999999999998E-2</v>
      </c>
      <c r="AE10" s="1457">
        <f>ROUND(AVERAGE(J10:J$20)/100,4)</f>
        <v>1.49E-2</v>
      </c>
      <c r="AF10" s="1457">
        <f t="shared" si="1"/>
        <v>1.49E-2</v>
      </c>
      <c r="AG10" s="1457">
        <f>ROUND(AVERAGE(K10:K$20)/100,4)</f>
        <v>2.3099999999999999E-2</v>
      </c>
      <c r="AH10" s="1457">
        <f>ROUND(AVERAGE(L10:L$20)/100,4)</f>
        <v>1.2999999999999999E-2</v>
      </c>
    </row>
    <row r="11" spans="1:34">
      <c r="A11" s="1458" t="s">
        <v>143</v>
      </c>
      <c r="B11" s="1475">
        <f t="shared" si="33"/>
        <v>360.06949782209392</v>
      </c>
      <c r="C11" s="1475">
        <f t="shared" si="33"/>
        <v>289.84672674747821</v>
      </c>
      <c r="D11" s="1475">
        <f t="shared" si="34"/>
        <v>289.84672674747821</v>
      </c>
      <c r="E11" s="1475">
        <f t="shared" si="35"/>
        <v>501.06543001181495</v>
      </c>
      <c r="F11" s="1475">
        <f t="shared" si="35"/>
        <v>256.82882500744967</v>
      </c>
      <c r="G11" s="3306"/>
      <c r="H11" s="1462">
        <v>2</v>
      </c>
      <c r="I11" s="1462">
        <v>3.85</v>
      </c>
      <c r="J11" s="1462">
        <v>1.95</v>
      </c>
      <c r="K11" s="1462">
        <v>4.4800000000000004</v>
      </c>
      <c r="L11" s="1477">
        <v>1.41</v>
      </c>
      <c r="N11" s="1470">
        <f t="shared" si="36"/>
        <v>3.85E-2</v>
      </c>
      <c r="O11" s="1471">
        <f t="shared" si="31"/>
        <v>1.95E-2</v>
      </c>
      <c r="P11" s="1471">
        <f t="shared" si="31"/>
        <v>4.4800000000000006E-2</v>
      </c>
      <c r="Q11" s="1471">
        <f t="shared" si="31"/>
        <v>1.41E-2</v>
      </c>
      <c r="R11" s="1472"/>
      <c r="S11" s="1470"/>
      <c r="T11" s="1471"/>
      <c r="U11" s="1471"/>
      <c r="V11" s="1471"/>
      <c r="X11" s="1456">
        <f>ROUND(SUMPRODUCT(PRODUCT(1+N11:N$19)),4)</f>
        <v>1.1702999999999999</v>
      </c>
      <c r="Y11" s="1456">
        <f>ROUND(SUMPRODUCT(PRODUCT(1+O11:O$19)),4)</f>
        <v>1.1269</v>
      </c>
      <c r="Z11" s="1456">
        <f t="shared" si="0"/>
        <v>1.1269</v>
      </c>
      <c r="AA11" s="1456">
        <f>ROUND(SUMPRODUCT(PRODUCT(1+P11:P$19)),4)</f>
        <v>1.1858</v>
      </c>
      <c r="AB11" s="1456">
        <f>ROUND(SUMPRODUCT(PRODUCT(1+Q11:Q$19)),4)</f>
        <v>1.1152</v>
      </c>
      <c r="AD11" s="1457">
        <f>ROUND(AVERAGE(I11:I$20)/100,4)</f>
        <v>1.89E-2</v>
      </c>
      <c r="AE11" s="1457">
        <f>ROUND(AVERAGE(J11:J$20)/100,4)</f>
        <v>1.44E-2</v>
      </c>
      <c r="AF11" s="1457">
        <f t="shared" si="1"/>
        <v>1.44E-2</v>
      </c>
      <c r="AG11" s="1457">
        <f>ROUND(AVERAGE(K11:K$20)/100,4)</f>
        <v>2.06E-2</v>
      </c>
      <c r="AH11" s="1457">
        <f>ROUND(AVERAGE(L11:L$20)/100,4)</f>
        <v>1.23E-2</v>
      </c>
    </row>
    <row r="12" spans="1:34" ht="13.5" thickBot="1">
      <c r="A12" s="1458" t="s">
        <v>152</v>
      </c>
      <c r="B12" s="1475">
        <f t="shared" si="33"/>
        <v>346.720748986128</v>
      </c>
      <c r="C12" s="1475">
        <f t="shared" si="33"/>
        <v>284.30282172386285</v>
      </c>
      <c r="D12" s="1475">
        <f t="shared" si="34"/>
        <v>284.30282172386285</v>
      </c>
      <c r="E12" s="1475">
        <f t="shared" si="35"/>
        <v>479.58023546306947</v>
      </c>
      <c r="F12" s="1475">
        <f t="shared" si="35"/>
        <v>253.25788877571213</v>
      </c>
      <c r="G12" s="3307"/>
      <c r="H12" s="1461">
        <v>1</v>
      </c>
      <c r="I12" s="1461">
        <v>4.09</v>
      </c>
      <c r="J12" s="1461">
        <v>2.93</v>
      </c>
      <c r="K12" s="1461">
        <v>4.54</v>
      </c>
      <c r="L12" s="1476">
        <v>1.48</v>
      </c>
      <c r="N12" s="1470">
        <f t="shared" si="36"/>
        <v>4.0899999999999999E-2</v>
      </c>
      <c r="O12" s="1471">
        <f t="shared" si="31"/>
        <v>2.9300000000000003E-2</v>
      </c>
      <c r="P12" s="1471">
        <f t="shared" si="31"/>
        <v>4.5400000000000003E-2</v>
      </c>
      <c r="Q12" s="1471">
        <f t="shared" si="31"/>
        <v>1.4800000000000001E-2</v>
      </c>
      <c r="R12" s="1472"/>
      <c r="S12" s="1478">
        <f>B12/B13-1</f>
        <v>4.1203450408792808E-2</v>
      </c>
      <c r="T12" s="1479">
        <f>C12/C13-1</f>
        <v>2.6363977342465095E-2</v>
      </c>
      <c r="U12" s="1479">
        <f>E12/E13-1</f>
        <v>4.4837114298626357E-2</v>
      </c>
      <c r="V12" s="1479">
        <f>F12/F13-1</f>
        <v>1.7099954922538574E-2</v>
      </c>
      <c r="X12" s="1456">
        <f>ROUND(SUMPRODUCT(PRODUCT(1+N12:N$19)),4)</f>
        <v>1.1269</v>
      </c>
      <c r="Y12" s="1456">
        <f>ROUND(SUMPRODUCT(PRODUCT(1+O12:O$19)),4)</f>
        <v>1.1052999999999999</v>
      </c>
      <c r="Z12" s="1456">
        <f t="shared" si="0"/>
        <v>1.1052999999999999</v>
      </c>
      <c r="AA12" s="1456">
        <f>ROUND(SUMPRODUCT(PRODUCT(1+P12:P$19)),4)</f>
        <v>1.1349</v>
      </c>
      <c r="AB12" s="1456">
        <f>ROUND(SUMPRODUCT(PRODUCT(1+Q12:Q$19)),4)</f>
        <v>1.0996999999999999</v>
      </c>
      <c r="AD12" s="1457">
        <f>ROUND(AVERAGE(I12:I$20)/100,4)</f>
        <v>1.67E-2</v>
      </c>
      <c r="AE12" s="1457">
        <f>ROUND(AVERAGE(J12:J$20)/100,4)</f>
        <v>1.38E-2</v>
      </c>
      <c r="AF12" s="1457">
        <f t="shared" si="1"/>
        <v>1.38E-2</v>
      </c>
      <c r="AG12" s="1457">
        <f>ROUND(AVERAGE(K12:K$20)/100,4)</f>
        <v>1.7899999999999999E-2</v>
      </c>
      <c r="AH12" s="1457">
        <f>ROUND(AVERAGE(L12:L$20)/100,4)</f>
        <v>1.21E-2</v>
      </c>
    </row>
    <row r="13" spans="1:34" ht="13.5" thickBot="1">
      <c r="A13" s="1458" t="s">
        <v>151</v>
      </c>
      <c r="B13" s="1467">
        <v>333</v>
      </c>
      <c r="C13" s="1467">
        <v>277</v>
      </c>
      <c r="D13" s="1467">
        <f t="shared" si="34"/>
        <v>277</v>
      </c>
      <c r="E13" s="1467">
        <v>459</v>
      </c>
      <c r="F13" s="1468">
        <v>249</v>
      </c>
      <c r="G13" s="3305">
        <v>2015</v>
      </c>
      <c r="H13" s="1480">
        <v>4</v>
      </c>
      <c r="I13" s="1480">
        <v>1.63</v>
      </c>
      <c r="J13" s="1480">
        <v>1.1100000000000001</v>
      </c>
      <c r="K13" s="1480">
        <v>1.77</v>
      </c>
      <c r="L13" s="1481">
        <v>1.89</v>
      </c>
      <c r="N13" s="1482">
        <f t="shared" si="36"/>
        <v>1.6299999999999999E-2</v>
      </c>
      <c r="O13" s="1483">
        <f t="shared" si="31"/>
        <v>1.11E-2</v>
      </c>
      <c r="P13" s="1483">
        <f t="shared" si="31"/>
        <v>1.77E-2</v>
      </c>
      <c r="Q13" s="1483">
        <f t="shared" si="31"/>
        <v>1.89E-2</v>
      </c>
      <c r="R13" s="1472"/>
      <c r="X13" s="1456">
        <f>ROUND(SUMPRODUCT(PRODUCT(1+N13:N$19)),4)</f>
        <v>1.0826</v>
      </c>
      <c r="Y13" s="1456">
        <f>ROUND(SUMPRODUCT(PRODUCT(1+O13:O$19)),4)</f>
        <v>1.0738000000000001</v>
      </c>
      <c r="Z13" s="1456">
        <f t="shared" si="0"/>
        <v>1.0738000000000001</v>
      </c>
      <c r="AA13" s="1456">
        <f>ROUND(SUMPRODUCT(PRODUCT(1+P13:P$19)),4)</f>
        <v>1.0855999999999999</v>
      </c>
      <c r="AB13" s="1456">
        <f>ROUND(SUMPRODUCT(PRODUCT(1+Q13:Q$19)),4)</f>
        <v>1.0837000000000001</v>
      </c>
      <c r="AD13" s="1457">
        <f>ROUND(AVERAGE(I13:I$20)/100,4)</f>
        <v>1.37E-2</v>
      </c>
      <c r="AE13" s="1457">
        <f>ROUND(AVERAGE(J13:J$20)/100,4)</f>
        <v>1.1900000000000001E-2</v>
      </c>
      <c r="AF13" s="1457">
        <f t="shared" si="1"/>
        <v>1.1900000000000001E-2</v>
      </c>
      <c r="AG13" s="1457">
        <f>ROUND(AVERAGE(K13:K$20)/100,4)</f>
        <v>1.4500000000000001E-2</v>
      </c>
      <c r="AH13" s="1457">
        <f>ROUND(AVERAGE(L13:L$20)/100,4)</f>
        <v>1.18E-2</v>
      </c>
    </row>
    <row r="14" spans="1:34">
      <c r="A14" s="1458" t="s">
        <v>150</v>
      </c>
      <c r="B14" s="1475">
        <f t="shared" ref="B14:C16" si="37">B13/(1+N13)</f>
        <v>327.65915576109415</v>
      </c>
      <c r="C14" s="1475">
        <f t="shared" si="37"/>
        <v>273.95905449510434</v>
      </c>
      <c r="D14" s="1475">
        <f t="shared" si="34"/>
        <v>273.95905449510434</v>
      </c>
      <c r="E14" s="1475">
        <f t="shared" ref="E14:F16" si="38">E13/(1+P13)</f>
        <v>451.01699911565294</v>
      </c>
      <c r="F14" s="1475">
        <f t="shared" si="38"/>
        <v>244.38119540681129</v>
      </c>
      <c r="G14" s="3306"/>
      <c r="H14" s="1485">
        <v>3</v>
      </c>
      <c r="I14" s="1485">
        <v>1.65</v>
      </c>
      <c r="J14" s="1485">
        <v>0.92</v>
      </c>
      <c r="K14" s="1485">
        <v>1.88</v>
      </c>
      <c r="L14" s="1486">
        <v>1.26</v>
      </c>
      <c r="N14" s="1470">
        <f t="shared" si="36"/>
        <v>1.6500000000000001E-2</v>
      </c>
      <c r="O14" s="1487">
        <f t="shared" si="31"/>
        <v>9.1999999999999998E-3</v>
      </c>
      <c r="P14" s="1487">
        <f t="shared" si="31"/>
        <v>1.8799999999999997E-2</v>
      </c>
      <c r="Q14" s="1487">
        <f t="shared" si="31"/>
        <v>1.26E-2</v>
      </c>
      <c r="R14" s="1472"/>
      <c r="S14" s="1470"/>
      <c r="T14" s="1471"/>
      <c r="U14" s="1471"/>
      <c r="V14" s="1471"/>
      <c r="X14" s="1456">
        <f>ROUND(SUMPRODUCT(PRODUCT(1+N14:N$19)),4)</f>
        <v>1.0651999999999999</v>
      </c>
      <c r="Y14" s="1456">
        <f>ROUND(SUMPRODUCT(PRODUCT(1+O14:O$19)),4)</f>
        <v>1.0621</v>
      </c>
      <c r="Z14" s="1456">
        <f t="shared" si="0"/>
        <v>1.0621</v>
      </c>
      <c r="AA14" s="1456">
        <f>ROUND(SUMPRODUCT(PRODUCT(1+P14:P$19)),4)</f>
        <v>1.0668</v>
      </c>
      <c r="AB14" s="1456">
        <f>ROUND(SUMPRODUCT(PRODUCT(1+Q14:Q$19)),4)</f>
        <v>1.0636000000000001</v>
      </c>
      <c r="AD14" s="1457">
        <f>ROUND(AVERAGE(I14:I$20)/100,4)</f>
        <v>1.3299999999999999E-2</v>
      </c>
      <c r="AE14" s="1457">
        <f>ROUND(AVERAGE(J14:J$20)/100,4)</f>
        <v>1.2E-2</v>
      </c>
      <c r="AF14" s="1457">
        <f t="shared" si="1"/>
        <v>1.2E-2</v>
      </c>
      <c r="AG14" s="1457">
        <f>ROUND(AVERAGE(K14:K$20)/100,4)</f>
        <v>1.4E-2</v>
      </c>
      <c r="AH14" s="1457">
        <f>ROUND(AVERAGE(L14:L$20)/100,4)</f>
        <v>1.0800000000000001E-2</v>
      </c>
    </row>
    <row r="15" spans="1:34">
      <c r="A15" s="1458" t="s">
        <v>149</v>
      </c>
      <c r="B15" s="1475">
        <f t="shared" si="37"/>
        <v>322.34053690220776</v>
      </c>
      <c r="C15" s="1475">
        <f t="shared" si="37"/>
        <v>271.46160770422546</v>
      </c>
      <c r="D15" s="1475">
        <f t="shared" si="34"/>
        <v>271.46160770422546</v>
      </c>
      <c r="E15" s="1475">
        <f t="shared" si="38"/>
        <v>442.69434542172456</v>
      </c>
      <c r="F15" s="1475">
        <f t="shared" si="38"/>
        <v>241.34030753190925</v>
      </c>
      <c r="G15" s="3306"/>
      <c r="H15" s="1462">
        <v>2</v>
      </c>
      <c r="I15" s="1462">
        <v>0.77</v>
      </c>
      <c r="J15" s="1462">
        <v>0.69</v>
      </c>
      <c r="K15" s="1462">
        <v>0.8</v>
      </c>
      <c r="L15" s="1477">
        <v>0.88</v>
      </c>
      <c r="N15" s="1470">
        <f t="shared" si="36"/>
        <v>7.7000000000000002E-3</v>
      </c>
      <c r="O15" s="1487">
        <f t="shared" si="31"/>
        <v>6.8999999999999999E-3</v>
      </c>
      <c r="P15" s="1487">
        <f t="shared" si="31"/>
        <v>8.0000000000000002E-3</v>
      </c>
      <c r="Q15" s="1487">
        <f t="shared" si="31"/>
        <v>8.8000000000000005E-3</v>
      </c>
      <c r="R15" s="1472"/>
      <c r="S15" s="1470"/>
      <c r="T15" s="1471"/>
      <c r="U15" s="1471"/>
      <c r="V15" s="1471"/>
      <c r="X15" s="1456">
        <f>ROUND(SUMPRODUCT(PRODUCT(1+N15:N$19)),4)</f>
        <v>1.048</v>
      </c>
      <c r="Y15" s="1456">
        <f>ROUND(SUMPRODUCT(PRODUCT(1+O15:O$19)),4)</f>
        <v>1.0524</v>
      </c>
      <c r="Z15" s="1456">
        <f t="shared" si="0"/>
        <v>1.0524</v>
      </c>
      <c r="AA15" s="1456">
        <f>ROUND(SUMPRODUCT(PRODUCT(1+P15:P$19)),4)</f>
        <v>1.0470999999999999</v>
      </c>
      <c r="AB15" s="1456">
        <f>ROUND(SUMPRODUCT(PRODUCT(1+Q15:Q$19)),4)</f>
        <v>1.0504</v>
      </c>
      <c r="AD15" s="1457">
        <f>ROUND(AVERAGE(I15:I$20)/100,4)</f>
        <v>1.2800000000000001E-2</v>
      </c>
      <c r="AE15" s="1457">
        <f>ROUND(AVERAGE(J15:J$20)/100,4)</f>
        <v>1.2500000000000001E-2</v>
      </c>
      <c r="AF15" s="1457">
        <f t="shared" si="1"/>
        <v>1.2500000000000001E-2</v>
      </c>
      <c r="AG15" s="1457">
        <f>ROUND(AVERAGE(K15:K$20)/100,4)</f>
        <v>1.32E-2</v>
      </c>
      <c r="AH15" s="1457">
        <f>ROUND(AVERAGE(L15:L$20)/100,4)</f>
        <v>1.0500000000000001E-2</v>
      </c>
    </row>
    <row r="16" spans="1:34">
      <c r="A16" s="1458" t="s">
        <v>148</v>
      </c>
      <c r="B16" s="1475">
        <f t="shared" si="37"/>
        <v>319.87748030386797</v>
      </c>
      <c r="C16" s="1475">
        <f t="shared" si="37"/>
        <v>269.60135833173649</v>
      </c>
      <c r="D16" s="1475">
        <f t="shared" si="34"/>
        <v>269.60135833173649</v>
      </c>
      <c r="E16" s="1475">
        <f t="shared" si="38"/>
        <v>439.18089823583784</v>
      </c>
      <c r="F16" s="1475">
        <f t="shared" si="38"/>
        <v>239.23503918706311</v>
      </c>
      <c r="G16" s="3307"/>
      <c r="H16" s="1461">
        <v>1</v>
      </c>
      <c r="I16" s="1461">
        <v>0.51</v>
      </c>
      <c r="J16" s="1461">
        <v>0.54</v>
      </c>
      <c r="K16" s="1461">
        <v>0.48</v>
      </c>
      <c r="L16" s="1476">
        <v>0.93</v>
      </c>
      <c r="N16" s="1478">
        <f t="shared" si="36"/>
        <v>5.1000000000000004E-3</v>
      </c>
      <c r="O16" s="1479">
        <f t="shared" si="31"/>
        <v>5.4000000000000003E-3</v>
      </c>
      <c r="P16" s="1479">
        <f t="shared" si="31"/>
        <v>4.7999999999999996E-3</v>
      </c>
      <c r="Q16" s="1479">
        <f t="shared" si="31"/>
        <v>9.300000000000001E-3</v>
      </c>
      <c r="R16" s="1472"/>
      <c r="S16" s="1478">
        <f>B16/B17-1</f>
        <v>5.9040261127922822E-3</v>
      </c>
      <c r="T16" s="1479">
        <f>C16/C17-1</f>
        <v>5.9752176557332781E-3</v>
      </c>
      <c r="U16" s="1479">
        <f>E16/E17-1</f>
        <v>4.9906138119859556E-3</v>
      </c>
      <c r="V16" s="1479">
        <f>F16/F17-1</f>
        <v>9.4305450930933787E-3</v>
      </c>
      <c r="X16" s="1456">
        <f>ROUND(SUMPRODUCT(PRODUCT(1+N16:N$19)),4)</f>
        <v>1.0399</v>
      </c>
      <c r="Y16" s="1456">
        <f>ROUND(SUMPRODUCT(PRODUCT(1+O16:O$19)),4)</f>
        <v>1.0451999999999999</v>
      </c>
      <c r="Z16" s="1456">
        <f t="shared" si="0"/>
        <v>1.0451999999999999</v>
      </c>
      <c r="AA16" s="1456">
        <f>ROUND(SUMPRODUCT(PRODUCT(1+P16:P$19)),4)</f>
        <v>1.0387999999999999</v>
      </c>
      <c r="AB16" s="1456">
        <f>ROUND(SUMPRODUCT(PRODUCT(1+Q16:Q$19)),4)</f>
        <v>1.0411999999999999</v>
      </c>
      <c r="AD16" s="1457">
        <f>ROUND(AVERAGE(I16:I$20)/100,4)</f>
        <v>1.38E-2</v>
      </c>
      <c r="AE16" s="1457">
        <f>ROUND(AVERAGE(J16:J$20)/100,4)</f>
        <v>1.3599999999999999E-2</v>
      </c>
      <c r="AF16" s="1457">
        <f t="shared" si="1"/>
        <v>1.3599999999999999E-2</v>
      </c>
      <c r="AG16" s="1457">
        <f>ROUND(AVERAGE(K16:K$20)/100,4)</f>
        <v>1.4200000000000001E-2</v>
      </c>
      <c r="AH16" s="1457">
        <f>ROUND(AVERAGE(L16:L$20)/100,4)</f>
        <v>1.0800000000000001E-2</v>
      </c>
    </row>
    <row r="17" spans="1:34" ht="13.5" thickBot="1">
      <c r="A17" s="1458" t="s">
        <v>147</v>
      </c>
      <c r="B17" s="1488">
        <v>318</v>
      </c>
      <c r="C17" s="1488">
        <v>268</v>
      </c>
      <c r="D17" s="1488">
        <f t="shared" si="34"/>
        <v>268</v>
      </c>
      <c r="E17" s="1488">
        <v>437</v>
      </c>
      <c r="F17" s="1489">
        <v>237</v>
      </c>
      <c r="G17" s="3305">
        <v>2014</v>
      </c>
      <c r="H17" s="1480">
        <v>4</v>
      </c>
      <c r="I17" s="1480">
        <v>0.21</v>
      </c>
      <c r="J17" s="1480">
        <v>0.41</v>
      </c>
      <c r="K17" s="1480">
        <v>0.12</v>
      </c>
      <c r="L17" s="1481">
        <v>0.89</v>
      </c>
      <c r="N17" s="1470">
        <f t="shared" si="36"/>
        <v>2.0999999999999999E-3</v>
      </c>
      <c r="O17" s="1471">
        <f t="shared" si="31"/>
        <v>4.0999999999999995E-3</v>
      </c>
      <c r="P17" s="1471">
        <f t="shared" si="31"/>
        <v>1.1999999999999999E-3</v>
      </c>
      <c r="Q17" s="1471">
        <f t="shared" si="31"/>
        <v>8.8999999999999999E-3</v>
      </c>
      <c r="R17" s="1472"/>
      <c r="S17" s="1473"/>
      <c r="T17" s="1474"/>
      <c r="U17" s="1474"/>
      <c r="V17" s="1474"/>
      <c r="X17" s="1456">
        <f>ROUND(SUMPRODUCT(PRODUCT(1+N17:N$19)),4)</f>
        <v>1.0347</v>
      </c>
      <c r="Y17" s="1456">
        <f>ROUND(SUMPRODUCT(PRODUCT(1+O17:O$19)),4)</f>
        <v>1.0395000000000001</v>
      </c>
      <c r="Z17" s="1456">
        <f t="shared" si="0"/>
        <v>1.0395000000000001</v>
      </c>
      <c r="AA17" s="1456">
        <f>ROUND(SUMPRODUCT(PRODUCT(1+P17:P$19)),4)</f>
        <v>1.0338000000000001</v>
      </c>
      <c r="AB17" s="1456">
        <f>ROUND(SUMPRODUCT(PRODUCT(1+Q17:Q$19)),4)</f>
        <v>1.0316000000000001</v>
      </c>
      <c r="AD17" s="1457">
        <f>ROUND(AVERAGE(I17:I$20)/100,4)</f>
        <v>1.6E-2</v>
      </c>
      <c r="AE17" s="1457">
        <f>ROUND(AVERAGE(J17:J$20)/100,4)</f>
        <v>1.5599999999999999E-2</v>
      </c>
      <c r="AF17" s="1457">
        <f t="shared" si="1"/>
        <v>1.5599999999999999E-2</v>
      </c>
      <c r="AG17" s="1457">
        <f>ROUND(AVERAGE(K17:K$20)/100,4)</f>
        <v>1.66E-2</v>
      </c>
      <c r="AH17" s="1457">
        <f>ROUND(AVERAGE(L17:L$20)/100,4)</f>
        <v>1.12E-2</v>
      </c>
    </row>
    <row r="18" spans="1:34">
      <c r="A18" s="1458" t="s">
        <v>146</v>
      </c>
      <c r="B18" s="1475">
        <f t="shared" ref="B18:C20" si="39">B17/(1+N17)</f>
        <v>317.33359944117353</v>
      </c>
      <c r="C18" s="1475">
        <f t="shared" si="39"/>
        <v>266.90568668459315</v>
      </c>
      <c r="D18" s="1475">
        <f t="shared" si="34"/>
        <v>266.90568668459315</v>
      </c>
      <c r="E18" s="1475">
        <f t="shared" ref="E18:F20" si="40">E17/(1+P17)</f>
        <v>436.47622852576905</v>
      </c>
      <c r="F18" s="1475">
        <f t="shared" si="40"/>
        <v>234.90930716622066</v>
      </c>
      <c r="G18" s="3306"/>
      <c r="H18" s="1490">
        <v>3</v>
      </c>
      <c r="I18" s="1490">
        <v>0.83</v>
      </c>
      <c r="J18" s="1490">
        <v>1.47</v>
      </c>
      <c r="K18" s="1490">
        <v>0.65</v>
      </c>
      <c r="L18" s="1491">
        <v>0.72</v>
      </c>
      <c r="N18" s="1470">
        <f t="shared" si="36"/>
        <v>8.3000000000000001E-3</v>
      </c>
      <c r="O18" s="1471">
        <f t="shared" si="31"/>
        <v>1.47E-2</v>
      </c>
      <c r="P18" s="1471">
        <f t="shared" si="31"/>
        <v>6.5000000000000006E-3</v>
      </c>
      <c r="Q18" s="1471">
        <f t="shared" si="31"/>
        <v>7.1999999999999998E-3</v>
      </c>
      <c r="R18" s="1472"/>
      <c r="S18" s="1470"/>
      <c r="T18" s="1471"/>
      <c r="U18" s="1471"/>
      <c r="V18" s="1471"/>
      <c r="X18" s="1456">
        <f>ROUND(SUMPRODUCT(PRODUCT(1+N18:N$19)),4)</f>
        <v>1.0325</v>
      </c>
      <c r="Y18" s="1456">
        <f>ROUND(SUMPRODUCT(PRODUCT(1+O18:O$19)),4)</f>
        <v>1.0353000000000001</v>
      </c>
      <c r="Z18" s="1456">
        <f t="shared" ref="Z18:Z19" si="41">Y18</f>
        <v>1.0353000000000001</v>
      </c>
      <c r="AA18" s="1456">
        <f>ROUND(SUMPRODUCT(PRODUCT(1+P18:P$19)),4)</f>
        <v>1.0326</v>
      </c>
      <c r="AB18" s="1456">
        <f>ROUND(SUMPRODUCT(PRODUCT(1+Q18:Q$19)),4)</f>
        <v>1.0225</v>
      </c>
      <c r="AD18" s="1457">
        <f>ROUND(AVERAGE(I18:I$20)/100,4)</f>
        <v>2.07E-2</v>
      </c>
      <c r="AE18" s="1457">
        <f>ROUND(AVERAGE(J18:J$20)/100,4)</f>
        <v>1.95E-2</v>
      </c>
      <c r="AF18" s="1457">
        <f t="shared" si="1"/>
        <v>1.95E-2</v>
      </c>
      <c r="AG18" s="1457">
        <f>ROUND(AVERAGE(K18:K$20)/100,4)</f>
        <v>2.1700000000000001E-2</v>
      </c>
      <c r="AH18" s="1457">
        <f>ROUND(AVERAGE(L18:L$20)/100,4)</f>
        <v>1.2E-2</v>
      </c>
    </row>
    <row r="19" spans="1:34" ht="13.5" thickBot="1">
      <c r="A19" s="1458" t="s">
        <v>145</v>
      </c>
      <c r="B19" s="1475">
        <f t="shared" si="39"/>
        <v>314.72141172386546</v>
      </c>
      <c r="C19" s="1475">
        <f t="shared" si="39"/>
        <v>263.03901319069001</v>
      </c>
      <c r="D19" s="1475">
        <f t="shared" si="34"/>
        <v>263.03901319069001</v>
      </c>
      <c r="E19" s="1475">
        <f t="shared" si="40"/>
        <v>433.65745506782821</v>
      </c>
      <c r="F19" s="1475">
        <f t="shared" si="40"/>
        <v>233.23005080045735</v>
      </c>
      <c r="G19" s="3306"/>
      <c r="H19" s="1480">
        <v>2</v>
      </c>
      <c r="I19" s="1480">
        <v>2.4</v>
      </c>
      <c r="J19" s="1480">
        <v>2.0299999999999998</v>
      </c>
      <c r="K19" s="1480">
        <v>2.59</v>
      </c>
      <c r="L19" s="1481">
        <v>1.52</v>
      </c>
      <c r="N19" s="1470">
        <f t="shared" si="36"/>
        <v>2.4E-2</v>
      </c>
      <c r="O19" s="1471">
        <f t="shared" si="31"/>
        <v>2.0299999999999999E-2</v>
      </c>
      <c r="P19" s="1471">
        <f t="shared" si="31"/>
        <v>2.5899999999999999E-2</v>
      </c>
      <c r="Q19" s="1471">
        <f t="shared" si="31"/>
        <v>1.52E-2</v>
      </c>
      <c r="R19" s="1472"/>
      <c r="S19" s="1470"/>
      <c r="T19" s="1471"/>
      <c r="U19" s="1471"/>
      <c r="V19" s="1471"/>
      <c r="X19" s="1456">
        <f>1+N19</f>
        <v>1.024</v>
      </c>
      <c r="Y19" s="1456">
        <f>1+O19</f>
        <v>1.0203</v>
      </c>
      <c r="Z19" s="1456">
        <f t="shared" si="41"/>
        <v>1.0203</v>
      </c>
      <c r="AA19" s="1456">
        <f>1+P19</f>
        <v>1.0259</v>
      </c>
      <c r="AB19" s="1456">
        <f>1+Q19</f>
        <v>1.0152000000000001</v>
      </c>
      <c r="AD19" s="1457">
        <f>ROUND(AVERAGE(I19:I$20)/100,4)</f>
        <v>2.69E-2</v>
      </c>
      <c r="AE19" s="1457">
        <f>ROUND(AVERAGE(J19:J$20)/100,4)</f>
        <v>2.1899999999999999E-2</v>
      </c>
      <c r="AF19" s="1457">
        <f t="shared" ref="AF19" si="42">AE19</f>
        <v>2.1899999999999999E-2</v>
      </c>
      <c r="AG19" s="1457">
        <f>ROUND(AVERAGE(K19:K$20)/100,4)</f>
        <v>2.9399999999999999E-2</v>
      </c>
      <c r="AH19" s="1457">
        <f>ROUND(AVERAGE(L19:L$20)/100,4)</f>
        <v>1.44E-2</v>
      </c>
    </row>
    <row r="20" spans="1:34" s="1496" customFormat="1" ht="13.5" thickBot="1">
      <c r="A20" s="1492" t="s">
        <v>144</v>
      </c>
      <c r="B20" s="1493">
        <f t="shared" si="39"/>
        <v>307.34512863658733</v>
      </c>
      <c r="C20" s="1493">
        <f t="shared" si="39"/>
        <v>257.80556031626975</v>
      </c>
      <c r="D20" s="1493">
        <f t="shared" si="34"/>
        <v>257.80556031626975</v>
      </c>
      <c r="E20" s="1493">
        <f t="shared" si="40"/>
        <v>422.70928459677179</v>
      </c>
      <c r="F20" s="1493">
        <f t="shared" si="40"/>
        <v>229.73803270336617</v>
      </c>
      <c r="G20" s="3307"/>
      <c r="H20" s="1494">
        <v>1</v>
      </c>
      <c r="I20" s="1494">
        <v>2.97</v>
      </c>
      <c r="J20" s="1494">
        <v>2.34</v>
      </c>
      <c r="K20" s="1494">
        <v>3.28</v>
      </c>
      <c r="L20" s="1495">
        <v>1.36</v>
      </c>
      <c r="N20" s="1497">
        <f t="shared" si="36"/>
        <v>2.9700000000000001E-2</v>
      </c>
      <c r="O20" s="1498">
        <f t="shared" si="31"/>
        <v>2.3399999999999997E-2</v>
      </c>
      <c r="P20" s="1498">
        <f t="shared" si="31"/>
        <v>3.2799999999999996E-2</v>
      </c>
      <c r="Q20" s="1498">
        <f t="shared" si="31"/>
        <v>1.3600000000000001E-2</v>
      </c>
      <c r="R20" s="1499"/>
      <c r="S20" s="1500">
        <f>B20/B21-1</f>
        <v>2.7910129219355539E-2</v>
      </c>
      <c r="T20" s="1501">
        <f>C20/C21-1</f>
        <v>2.3037937762975247E-2</v>
      </c>
      <c r="U20" s="1501">
        <f>E20/E21-1</f>
        <v>3.3519033243940788E-2</v>
      </c>
      <c r="V20" s="1501">
        <f>F20/F21-1</f>
        <v>1.2061818076502862E-2</v>
      </c>
      <c r="W20" s="1502" t="s">
        <v>1163</v>
      </c>
      <c r="X20" s="1503">
        <v>1</v>
      </c>
      <c r="Y20" s="1503">
        <v>1</v>
      </c>
      <c r="Z20" s="1503">
        <v>1</v>
      </c>
      <c r="AA20" s="1503">
        <v>1</v>
      </c>
      <c r="AB20" s="1503">
        <v>1</v>
      </c>
      <c r="AD20" s="1724">
        <f>I20/100</f>
        <v>2.9700000000000001E-2</v>
      </c>
      <c r="AE20" s="1724">
        <f>J20/100</f>
        <v>2.3399999999999997E-2</v>
      </c>
      <c r="AF20" s="1724">
        <f>AE20</f>
        <v>2.3399999999999997E-2</v>
      </c>
      <c r="AG20" s="1724">
        <f>K20/100</f>
        <v>3.2799999999999996E-2</v>
      </c>
      <c r="AH20" s="1724">
        <f>L20/100</f>
        <v>1.3600000000000001E-2</v>
      </c>
    </row>
    <row r="21" spans="1:34" ht="13.5" thickBot="1">
      <c r="A21" s="1458" t="s">
        <v>1164</v>
      </c>
      <c r="B21" s="1467">
        <v>299</v>
      </c>
      <c r="C21" s="1467">
        <v>252</v>
      </c>
      <c r="D21" s="1467">
        <f t="shared" si="34"/>
        <v>252</v>
      </c>
      <c r="E21" s="1467">
        <v>409</v>
      </c>
      <c r="F21" s="1468">
        <v>227</v>
      </c>
      <c r="G21" s="3310">
        <v>2013</v>
      </c>
      <c r="H21" s="1504">
        <v>4</v>
      </c>
      <c r="I21" s="1504">
        <v>1.83</v>
      </c>
      <c r="J21" s="1504">
        <v>1.68</v>
      </c>
      <c r="K21" s="1504">
        <v>1.97</v>
      </c>
      <c r="L21" s="1505">
        <v>0.87</v>
      </c>
      <c r="N21" s="1482">
        <f t="shared" si="36"/>
        <v>1.83E-2</v>
      </c>
      <c r="O21" s="1483">
        <f t="shared" si="31"/>
        <v>1.6799999999999999E-2</v>
      </c>
      <c r="P21" s="1483">
        <f t="shared" si="31"/>
        <v>1.9699999999999999E-2</v>
      </c>
      <c r="Q21" s="1483">
        <f t="shared" si="31"/>
        <v>8.6999999999999994E-3</v>
      </c>
      <c r="R21" s="1472"/>
      <c r="S21" s="1473"/>
      <c r="T21" s="1474"/>
      <c r="U21" s="1474"/>
      <c r="V21" s="1474"/>
      <c r="X21" s="1474"/>
      <c r="Y21" s="1474"/>
      <c r="Z21" s="1474"/>
    </row>
    <row r="22" spans="1:34">
      <c r="A22" s="1458" t="s">
        <v>1165</v>
      </c>
      <c r="B22" s="1475">
        <f t="shared" ref="B22:C24" si="43">B21/(1+N21)</f>
        <v>293.62663262299913</v>
      </c>
      <c r="C22" s="1475">
        <f t="shared" si="43"/>
        <v>247.83634933123525</v>
      </c>
      <c r="D22" s="1475">
        <f t="shared" si="34"/>
        <v>247.83634933123525</v>
      </c>
      <c r="E22" s="1475">
        <f t="shared" ref="E22:F24" si="44">E21/(1+P21)</f>
        <v>401.09836226341076</v>
      </c>
      <c r="F22" s="1475">
        <f t="shared" si="44"/>
        <v>225.04213343908003</v>
      </c>
      <c r="G22" s="3311"/>
      <c r="H22" s="1485">
        <v>3</v>
      </c>
      <c r="I22" s="1485">
        <v>1.86</v>
      </c>
      <c r="J22" s="1485">
        <v>1.72</v>
      </c>
      <c r="K22" s="1485">
        <v>1.98</v>
      </c>
      <c r="L22" s="1486">
        <v>0.88</v>
      </c>
      <c r="N22" s="1470">
        <f t="shared" si="36"/>
        <v>1.8600000000000002E-2</v>
      </c>
      <c r="O22" s="1487">
        <f t="shared" si="31"/>
        <v>1.72E-2</v>
      </c>
      <c r="P22" s="1487">
        <f t="shared" si="31"/>
        <v>1.9799999999999998E-2</v>
      </c>
      <c r="Q22" s="1487">
        <f t="shared" si="31"/>
        <v>8.8000000000000005E-3</v>
      </c>
      <c r="R22" s="1472"/>
      <c r="S22" s="1470"/>
      <c r="T22" s="1471"/>
      <c r="U22" s="1471"/>
      <c r="V22" s="1471"/>
    </row>
    <row r="23" spans="1:34">
      <c r="A23" s="1458" t="s">
        <v>1166</v>
      </c>
      <c r="B23" s="1475">
        <f t="shared" si="43"/>
        <v>288.2649053828776</v>
      </c>
      <c r="C23" s="1475">
        <f t="shared" si="43"/>
        <v>243.64564425013293</v>
      </c>
      <c r="D23" s="1475">
        <f t="shared" si="34"/>
        <v>243.64564425013293</v>
      </c>
      <c r="E23" s="1475">
        <f t="shared" si="44"/>
        <v>393.31080825986544</v>
      </c>
      <c r="F23" s="1475">
        <f t="shared" si="44"/>
        <v>223.07903790551154</v>
      </c>
      <c r="G23" s="3311"/>
      <c r="H23" s="1462">
        <v>2</v>
      </c>
      <c r="I23" s="1462">
        <v>2.04</v>
      </c>
      <c r="J23" s="1462">
        <v>2.33</v>
      </c>
      <c r="K23" s="1462">
        <v>2.0699999999999998</v>
      </c>
      <c r="L23" s="1477">
        <v>0.69</v>
      </c>
      <c r="N23" s="1470">
        <f t="shared" si="36"/>
        <v>2.0400000000000001E-2</v>
      </c>
      <c r="O23" s="1487">
        <f t="shared" si="31"/>
        <v>2.3300000000000001E-2</v>
      </c>
      <c r="P23" s="1487">
        <f t="shared" si="31"/>
        <v>2.07E-2</v>
      </c>
      <c r="Q23" s="1487">
        <f t="shared" si="31"/>
        <v>6.8999999999999999E-3</v>
      </c>
      <c r="R23" s="1472"/>
      <c r="S23" s="1470"/>
      <c r="T23" s="1471"/>
      <c r="U23" s="1471"/>
      <c r="V23" s="1471"/>
      <c r="X23" s="1506"/>
      <c r="Y23" s="1507"/>
    </row>
    <row r="24" spans="1:34">
      <c r="A24" s="1458" t="s">
        <v>1167</v>
      </c>
      <c r="B24" s="1475">
        <f t="shared" si="43"/>
        <v>282.50186729015837</v>
      </c>
      <c r="C24" s="1475">
        <f t="shared" si="43"/>
        <v>238.09796174155468</v>
      </c>
      <c r="D24" s="1475">
        <f t="shared" si="34"/>
        <v>238.09796174155468</v>
      </c>
      <c r="E24" s="1475">
        <f t="shared" si="44"/>
        <v>385.33438646014054</v>
      </c>
      <c r="F24" s="1475">
        <f t="shared" si="44"/>
        <v>221.55034055567739</v>
      </c>
      <c r="G24" s="3312"/>
      <c r="H24" s="1461">
        <v>1</v>
      </c>
      <c r="I24" s="1461">
        <v>1.67</v>
      </c>
      <c r="J24" s="1461">
        <v>1.31</v>
      </c>
      <c r="K24" s="1461">
        <v>1.85</v>
      </c>
      <c r="L24" s="1476">
        <v>0.96</v>
      </c>
      <c r="N24" s="1478">
        <f t="shared" si="36"/>
        <v>1.67E-2</v>
      </c>
      <c r="O24" s="1479">
        <f t="shared" si="36"/>
        <v>1.3100000000000001E-2</v>
      </c>
      <c r="P24" s="1479">
        <f t="shared" si="36"/>
        <v>1.8500000000000003E-2</v>
      </c>
      <c r="Q24" s="1479">
        <f t="shared" si="36"/>
        <v>9.5999999999999992E-3</v>
      </c>
      <c r="R24" s="1472"/>
      <c r="S24" s="1478">
        <f>B24/B25-1</f>
        <v>1.6193767230785472E-2</v>
      </c>
      <c r="T24" s="1479">
        <f>C24/C25-1</f>
        <v>1.7512657015190891E-2</v>
      </c>
      <c r="U24" s="1479">
        <f>E24/E25-1</f>
        <v>1.6713420739157048E-2</v>
      </c>
      <c r="V24" s="1479">
        <f>F24/F25-1</f>
        <v>7.0470025258062563E-3</v>
      </c>
      <c r="X24" s="1508"/>
      <c r="Y24" s="1457"/>
      <c r="Z24" s="1457"/>
    </row>
    <row r="25" spans="1:34" ht="13.5" thickBot="1">
      <c r="A25" s="1458" t="s">
        <v>1168</v>
      </c>
      <c r="B25" s="1509">
        <v>278</v>
      </c>
      <c r="C25" s="1509">
        <v>234</v>
      </c>
      <c r="D25" s="1509">
        <f t="shared" si="34"/>
        <v>234</v>
      </c>
      <c r="E25" s="1509">
        <v>379</v>
      </c>
      <c r="F25" s="1510">
        <v>220</v>
      </c>
      <c r="G25" s="3305">
        <v>2012</v>
      </c>
      <c r="H25" s="1480">
        <v>4</v>
      </c>
      <c r="I25" s="1480">
        <v>0.91</v>
      </c>
      <c r="J25" s="1480">
        <v>0.68</v>
      </c>
      <c r="K25" s="1480">
        <v>0.98</v>
      </c>
      <c r="L25" s="1481">
        <v>0.9</v>
      </c>
      <c r="N25" s="1470">
        <f t="shared" si="36"/>
        <v>9.1000000000000004E-3</v>
      </c>
      <c r="O25" s="1471">
        <f t="shared" si="36"/>
        <v>6.8000000000000005E-3</v>
      </c>
      <c r="P25" s="1471">
        <f t="shared" si="36"/>
        <v>9.7999999999999997E-3</v>
      </c>
      <c r="Q25" s="1471">
        <f t="shared" si="36"/>
        <v>9.0000000000000011E-3</v>
      </c>
      <c r="R25" s="1472"/>
      <c r="S25" s="1473"/>
      <c r="T25" s="1474"/>
      <c r="U25" s="1474"/>
      <c r="V25" s="1474"/>
      <c r="X25" s="1474"/>
      <c r="Y25" s="1474"/>
      <c r="Z25" s="1474"/>
    </row>
    <row r="26" spans="1:34">
      <c r="A26" s="1458" t="s">
        <v>1169</v>
      </c>
      <c r="B26" s="1475">
        <f>B25/(1+N25)</f>
        <v>275.49301357645425</v>
      </c>
      <c r="C26" s="1475">
        <f>C25/(1+O25)</f>
        <v>232.41954707985698</v>
      </c>
      <c r="D26" s="1475">
        <f t="shared" si="34"/>
        <v>232.41954707985698</v>
      </c>
      <c r="E26" s="1475">
        <f t="shared" ref="E26:F28" si="45">E25/(1+P25)</f>
        <v>375.32184591008121</v>
      </c>
      <c r="F26" s="1475">
        <f t="shared" si="45"/>
        <v>218.03766105054513</v>
      </c>
      <c r="G26" s="3306"/>
      <c r="H26" s="1485">
        <v>3</v>
      </c>
      <c r="I26" s="1485">
        <v>0.09</v>
      </c>
      <c r="J26" s="1485">
        <v>0.28999999999999998</v>
      </c>
      <c r="K26" s="1485">
        <v>-0.01</v>
      </c>
      <c r="L26" s="1486">
        <v>0.57999999999999996</v>
      </c>
      <c r="N26" s="1470">
        <f t="shared" si="36"/>
        <v>8.9999999999999998E-4</v>
      </c>
      <c r="O26" s="1471">
        <f t="shared" si="36"/>
        <v>2.8999999999999998E-3</v>
      </c>
      <c r="P26" s="1471">
        <f t="shared" si="36"/>
        <v>-1E-4</v>
      </c>
      <c r="Q26" s="1471">
        <f t="shared" si="36"/>
        <v>5.7999999999999996E-3</v>
      </c>
      <c r="R26" s="1472"/>
      <c r="S26" s="1470"/>
      <c r="T26" s="1471"/>
      <c r="U26" s="1471"/>
      <c r="V26" s="1471"/>
    </row>
    <row r="27" spans="1:34">
      <c r="A27" s="1458" t="s">
        <v>1170</v>
      </c>
      <c r="B27" s="1475">
        <f>B26/(1+N26)</f>
        <v>275.24529281292263</v>
      </c>
      <c r="C27" s="1475">
        <f>C26/(1+O26)</f>
        <v>231.74747938962707</v>
      </c>
      <c r="D27" s="1475">
        <f t="shared" si="34"/>
        <v>231.74747938962707</v>
      </c>
      <c r="E27" s="1475">
        <f t="shared" si="45"/>
        <v>375.35938184826603</v>
      </c>
      <c r="F27" s="1475">
        <f t="shared" si="45"/>
        <v>216.78033510692495</v>
      </c>
      <c r="G27" s="3306"/>
      <c r="H27" s="1462">
        <v>2</v>
      </c>
      <c r="I27" s="1462">
        <v>0.02</v>
      </c>
      <c r="J27" s="1462">
        <v>0.12</v>
      </c>
      <c r="K27" s="1462">
        <v>-0.08</v>
      </c>
      <c r="L27" s="1477">
        <v>1.24</v>
      </c>
      <c r="N27" s="1470">
        <f t="shared" si="36"/>
        <v>2.0000000000000001E-4</v>
      </c>
      <c r="O27" s="1471">
        <f t="shared" si="36"/>
        <v>1.1999999999999999E-3</v>
      </c>
      <c r="P27" s="1471">
        <f t="shared" si="36"/>
        <v>-8.0000000000000004E-4</v>
      </c>
      <c r="Q27" s="1471">
        <f t="shared" si="36"/>
        <v>1.24E-2</v>
      </c>
      <c r="R27" s="1472"/>
      <c r="S27" s="1470"/>
      <c r="T27" s="1471"/>
      <c r="U27" s="1471"/>
      <c r="V27" s="1471"/>
    </row>
    <row r="28" spans="1:34" ht="13.5" thickBot="1">
      <c r="A28" s="1458" t="s">
        <v>1171</v>
      </c>
      <c r="B28" s="1475">
        <f>B27/(1+N27)</f>
        <v>275.19025476197027</v>
      </c>
      <c r="C28" s="1511">
        <v>232</v>
      </c>
      <c r="D28" s="1511">
        <f t="shared" si="34"/>
        <v>232</v>
      </c>
      <c r="E28" s="1475">
        <f t="shared" si="45"/>
        <v>375.65990977608692</v>
      </c>
      <c r="F28" s="1475">
        <f t="shared" si="45"/>
        <v>214.12518283971252</v>
      </c>
      <c r="G28" s="3307"/>
      <c r="H28" s="1461">
        <v>1</v>
      </c>
      <c r="I28" s="1461">
        <v>0.02</v>
      </c>
      <c r="J28" s="1461">
        <v>0.13</v>
      </c>
      <c r="K28" s="1461">
        <v>-0.04</v>
      </c>
      <c r="L28" s="1476">
        <v>0.46</v>
      </c>
      <c r="N28" s="1470">
        <f t="shared" si="36"/>
        <v>2.0000000000000001E-4</v>
      </c>
      <c r="O28" s="1471">
        <f t="shared" si="36"/>
        <v>1.2999999999999999E-3</v>
      </c>
      <c r="P28" s="1471">
        <f t="shared" si="36"/>
        <v>-4.0000000000000002E-4</v>
      </c>
      <c r="Q28" s="1471">
        <f t="shared" si="36"/>
        <v>4.5999999999999999E-3</v>
      </c>
      <c r="R28" s="1472"/>
      <c r="S28" s="1478">
        <f>B28/B29-1</f>
        <v>6.9183549807361189E-4</v>
      </c>
      <c r="T28" s="1479">
        <f>C28/C29-1</f>
        <v>0</v>
      </c>
      <c r="U28" s="1479">
        <f>E28/E29-1</f>
        <v>-9.0449527636460303E-4</v>
      </c>
      <c r="V28" s="1479">
        <f>F28/F29-1</f>
        <v>5.2825485432512753E-3</v>
      </c>
      <c r="X28" s="1457"/>
      <c r="Y28" s="1457"/>
      <c r="Z28" s="1457"/>
    </row>
    <row r="29" spans="1:34" ht="13.5" thickBot="1">
      <c r="A29" s="1458" t="s">
        <v>1172</v>
      </c>
      <c r="B29" s="1467">
        <v>275</v>
      </c>
      <c r="C29" s="1467">
        <v>232</v>
      </c>
      <c r="D29" s="1467">
        <f t="shared" si="34"/>
        <v>232</v>
      </c>
      <c r="E29" s="1467">
        <v>376</v>
      </c>
      <c r="F29" s="1468">
        <v>213</v>
      </c>
      <c r="G29" s="3305">
        <v>2011</v>
      </c>
      <c r="H29" s="1480">
        <v>4</v>
      </c>
      <c r="I29" s="1480">
        <v>-0.2</v>
      </c>
      <c r="J29" s="1480">
        <v>0.04</v>
      </c>
      <c r="K29" s="1480">
        <v>-0.34</v>
      </c>
      <c r="L29" s="1481">
        <v>0.46</v>
      </c>
      <c r="N29" s="1482">
        <f t="shared" si="36"/>
        <v>-2E-3</v>
      </c>
      <c r="O29" s="1483">
        <f t="shared" si="36"/>
        <v>4.0000000000000002E-4</v>
      </c>
      <c r="P29" s="1483">
        <f t="shared" si="36"/>
        <v>-3.4000000000000002E-3</v>
      </c>
      <c r="Q29" s="1483">
        <f t="shared" si="36"/>
        <v>4.5999999999999999E-3</v>
      </c>
      <c r="R29" s="1472"/>
      <c r="S29" s="1473"/>
      <c r="T29" s="1474"/>
      <c r="U29" s="1474"/>
      <c r="V29" s="1474"/>
      <c r="X29" s="1474"/>
      <c r="Y29" s="1474"/>
      <c r="Z29" s="1474"/>
    </row>
    <row r="30" spans="1:34">
      <c r="A30" s="1458" t="s">
        <v>1173</v>
      </c>
      <c r="B30" s="1475">
        <f t="shared" ref="B30:C32" si="46">B29/(1+N29)</f>
        <v>275.55110220440883</v>
      </c>
      <c r="C30" s="1475">
        <f t="shared" si="46"/>
        <v>231.90723710515795</v>
      </c>
      <c r="D30" s="1475">
        <f t="shared" si="34"/>
        <v>231.90723710515795</v>
      </c>
      <c r="E30" s="1475">
        <f t="shared" ref="E30:F32" si="47">E29/(1+P29)</f>
        <v>377.28276138872161</v>
      </c>
      <c r="F30" s="1475">
        <f t="shared" si="47"/>
        <v>212.02468644236512</v>
      </c>
      <c r="G30" s="3306">
        <v>2011</v>
      </c>
      <c r="H30" s="1485">
        <v>3</v>
      </c>
      <c r="I30" s="1485">
        <v>0.13</v>
      </c>
      <c r="J30" s="1485">
        <v>0.75</v>
      </c>
      <c r="K30" s="1485">
        <v>-0.08</v>
      </c>
      <c r="L30" s="1486">
        <v>0.53</v>
      </c>
      <c r="N30" s="1470">
        <f t="shared" si="36"/>
        <v>1.2999999999999999E-3</v>
      </c>
      <c r="O30" s="1487">
        <f t="shared" si="36"/>
        <v>7.4999999999999997E-3</v>
      </c>
      <c r="P30" s="1487">
        <f t="shared" si="36"/>
        <v>-8.0000000000000004E-4</v>
      </c>
      <c r="Q30" s="1487">
        <f t="shared" si="36"/>
        <v>5.3E-3</v>
      </c>
      <c r="R30" s="1472"/>
      <c r="S30" s="1470"/>
      <c r="T30" s="1471"/>
      <c r="U30" s="1471"/>
      <c r="V30" s="1471"/>
    </row>
    <row r="31" spans="1:34">
      <c r="A31" s="1458" t="s">
        <v>1174</v>
      </c>
      <c r="B31" s="1475">
        <f t="shared" si="46"/>
        <v>275.19335084830601</v>
      </c>
      <c r="C31" s="1475">
        <f t="shared" si="46"/>
        <v>230.18088050139744</v>
      </c>
      <c r="D31" s="1475">
        <f t="shared" si="34"/>
        <v>230.18088050139744</v>
      </c>
      <c r="E31" s="1475">
        <f t="shared" si="47"/>
        <v>377.58482925212331</v>
      </c>
      <c r="F31" s="1475">
        <f t="shared" si="47"/>
        <v>210.90687997847917</v>
      </c>
      <c r="G31" s="3306">
        <v>2011</v>
      </c>
      <c r="H31" s="1462">
        <v>2</v>
      </c>
      <c r="I31" s="1462">
        <v>-0.4</v>
      </c>
      <c r="J31" s="1462">
        <v>0.17</v>
      </c>
      <c r="K31" s="1462">
        <v>-0.57999999999999996</v>
      </c>
      <c r="L31" s="1477">
        <v>-0.2</v>
      </c>
      <c r="N31" s="1470">
        <f t="shared" si="36"/>
        <v>-4.0000000000000001E-3</v>
      </c>
      <c r="O31" s="1487">
        <f t="shared" si="36"/>
        <v>1.7000000000000001E-3</v>
      </c>
      <c r="P31" s="1487">
        <f t="shared" si="36"/>
        <v>-5.7999999999999996E-3</v>
      </c>
      <c r="Q31" s="1487">
        <f t="shared" si="36"/>
        <v>-2E-3</v>
      </c>
      <c r="R31" s="1472"/>
      <c r="S31" s="1470"/>
      <c r="T31" s="1471"/>
      <c r="U31" s="1471"/>
      <c r="V31" s="1471"/>
    </row>
    <row r="32" spans="1:34" ht="13.5" thickBot="1">
      <c r="A32" s="1458" t="s">
        <v>1175</v>
      </c>
      <c r="B32" s="1475">
        <f t="shared" si="46"/>
        <v>276.29854502841971</v>
      </c>
      <c r="C32" s="1475">
        <f t="shared" si="46"/>
        <v>229.79023709833027</v>
      </c>
      <c r="D32" s="1475">
        <f t="shared" si="34"/>
        <v>229.79023709833027</v>
      </c>
      <c r="E32" s="1475">
        <f t="shared" si="47"/>
        <v>379.78759731655936</v>
      </c>
      <c r="F32" s="1475">
        <f t="shared" si="47"/>
        <v>211.32953905659235</v>
      </c>
      <c r="G32" s="3307">
        <v>2011</v>
      </c>
      <c r="H32" s="1461">
        <v>1</v>
      </c>
      <c r="I32" s="1461">
        <v>2.65</v>
      </c>
      <c r="J32" s="1461">
        <v>3.76</v>
      </c>
      <c r="K32" s="1461">
        <v>1.89</v>
      </c>
      <c r="L32" s="1476">
        <v>7.95</v>
      </c>
      <c r="N32" s="1478">
        <f t="shared" si="36"/>
        <v>2.6499999999999999E-2</v>
      </c>
      <c r="O32" s="1479">
        <f t="shared" si="36"/>
        <v>3.7599999999999995E-2</v>
      </c>
      <c r="P32" s="1479">
        <f t="shared" si="36"/>
        <v>1.89E-2</v>
      </c>
      <c r="Q32" s="1479">
        <f t="shared" si="36"/>
        <v>7.9500000000000001E-2</v>
      </c>
      <c r="R32" s="1472"/>
      <c r="S32" s="1478">
        <f>B32/B33-1</f>
        <v>2.713213765211786E-2</v>
      </c>
      <c r="T32" s="1479">
        <f>C32/C33-1</f>
        <v>3.9774828499231862E-2</v>
      </c>
      <c r="U32" s="1479">
        <f>E32/E33-1</f>
        <v>1.8197311840641772E-2</v>
      </c>
      <c r="V32" s="1479">
        <f>F32/F33-1</f>
        <v>7.8211933962205826E-2</v>
      </c>
      <c r="X32" s="1457"/>
      <c r="Y32" s="1457"/>
      <c r="Z32" s="1457"/>
    </row>
    <row r="33" spans="1:26" ht="13.5" thickBot="1">
      <c r="A33" s="1458" t="s">
        <v>1176</v>
      </c>
      <c r="B33" s="1467">
        <v>269</v>
      </c>
      <c r="C33" s="1467">
        <v>221</v>
      </c>
      <c r="D33" s="1467">
        <f t="shared" si="34"/>
        <v>221</v>
      </c>
      <c r="E33" s="1467">
        <v>373</v>
      </c>
      <c r="F33" s="1468">
        <v>196</v>
      </c>
      <c r="G33" s="3305">
        <v>2010</v>
      </c>
      <c r="H33" s="1480">
        <v>4</v>
      </c>
      <c r="I33" s="1480">
        <v>5.72</v>
      </c>
      <c r="J33" s="1480">
        <v>6.57</v>
      </c>
      <c r="K33" s="1480">
        <v>5.72</v>
      </c>
      <c r="L33" s="1481">
        <v>2.72</v>
      </c>
      <c r="N33" s="1470">
        <f t="shared" si="36"/>
        <v>5.7200000000000001E-2</v>
      </c>
      <c r="O33" s="1471">
        <f t="shared" si="36"/>
        <v>6.5700000000000008E-2</v>
      </c>
      <c r="P33" s="1471">
        <f t="shared" si="36"/>
        <v>5.7200000000000001E-2</v>
      </c>
      <c r="Q33" s="1471">
        <f t="shared" si="36"/>
        <v>2.7200000000000002E-2</v>
      </c>
      <c r="R33" s="1472"/>
      <c r="S33" s="1473"/>
      <c r="T33" s="1474"/>
      <c r="U33" s="1474"/>
      <c r="V33" s="1474"/>
      <c r="X33" s="1474"/>
      <c r="Y33" s="1474"/>
      <c r="Z33" s="1474"/>
    </row>
    <row r="34" spans="1:26">
      <c r="A34" s="1458" t="s">
        <v>1177</v>
      </c>
      <c r="B34" s="1475">
        <f t="shared" ref="B34:C36" si="48">B33/(1+N33)</f>
        <v>254.44570563753314</v>
      </c>
      <c r="C34" s="1475">
        <f t="shared" si="48"/>
        <v>207.37543398705074</v>
      </c>
      <c r="D34" s="1475">
        <f t="shared" si="34"/>
        <v>207.37543398705074</v>
      </c>
      <c r="E34" s="1475">
        <f t="shared" ref="E34:F36" si="49">E33/(1+P33)</f>
        <v>352.81876655315932</v>
      </c>
      <c r="F34" s="1475">
        <f t="shared" si="49"/>
        <v>190.809968847352</v>
      </c>
      <c r="G34" s="3306">
        <v>2010</v>
      </c>
      <c r="H34" s="1485">
        <v>3</v>
      </c>
      <c r="I34" s="1485">
        <v>4.7300000000000004</v>
      </c>
      <c r="J34" s="1485">
        <v>3.9</v>
      </c>
      <c r="K34" s="1485">
        <v>5.03</v>
      </c>
      <c r="L34" s="1486">
        <v>4.21</v>
      </c>
      <c r="N34" s="1470">
        <f t="shared" si="36"/>
        <v>4.7300000000000002E-2</v>
      </c>
      <c r="O34" s="1471">
        <f t="shared" si="36"/>
        <v>3.9E-2</v>
      </c>
      <c r="P34" s="1471">
        <f t="shared" si="36"/>
        <v>5.0300000000000004E-2</v>
      </c>
      <c r="Q34" s="1471">
        <f t="shared" si="36"/>
        <v>4.2099999999999999E-2</v>
      </c>
      <c r="R34" s="1472"/>
      <c r="S34" s="1470"/>
      <c r="T34" s="1471"/>
      <c r="U34" s="1471"/>
      <c r="V34" s="1471"/>
    </row>
    <row r="35" spans="1:26">
      <c r="A35" s="1458" t="s">
        <v>1178</v>
      </c>
      <c r="B35" s="1475">
        <f t="shared" si="48"/>
        <v>242.95398227588385</v>
      </c>
      <c r="C35" s="1475">
        <f t="shared" si="48"/>
        <v>199.59137053614126</v>
      </c>
      <c r="D35" s="1475">
        <f t="shared" si="34"/>
        <v>199.59137053614126</v>
      </c>
      <c r="E35" s="1475">
        <f t="shared" si="49"/>
        <v>335.92189522342125</v>
      </c>
      <c r="F35" s="1475">
        <f t="shared" si="49"/>
        <v>183.10139991109489</v>
      </c>
      <c r="G35" s="3306">
        <v>2010</v>
      </c>
      <c r="H35" s="1462">
        <v>2</v>
      </c>
      <c r="I35" s="1462">
        <v>4.6900000000000004</v>
      </c>
      <c r="J35" s="1462">
        <v>3.55</v>
      </c>
      <c r="K35" s="1462">
        <v>5.07</v>
      </c>
      <c r="L35" s="1477">
        <v>4.2300000000000004</v>
      </c>
      <c r="N35" s="1470">
        <f t="shared" si="36"/>
        <v>4.6900000000000004E-2</v>
      </c>
      <c r="O35" s="1471">
        <f t="shared" si="36"/>
        <v>3.5499999999999997E-2</v>
      </c>
      <c r="P35" s="1471">
        <f t="shared" si="36"/>
        <v>5.0700000000000002E-2</v>
      </c>
      <c r="Q35" s="1471">
        <f t="shared" si="36"/>
        <v>4.2300000000000004E-2</v>
      </c>
      <c r="R35" s="1472"/>
      <c r="S35" s="1470"/>
      <c r="T35" s="1471"/>
      <c r="U35" s="1471"/>
      <c r="V35" s="1471"/>
    </row>
    <row r="36" spans="1:26" ht="13.5" thickBot="1">
      <c r="A36" s="1458" t="s">
        <v>1179</v>
      </c>
      <c r="B36" s="1475">
        <f t="shared" si="48"/>
        <v>232.06990378821649</v>
      </c>
      <c r="C36" s="1475">
        <f t="shared" si="48"/>
        <v>192.74878854286936</v>
      </c>
      <c r="D36" s="1475">
        <f t="shared" si="34"/>
        <v>192.74878854286936</v>
      </c>
      <c r="E36" s="1475">
        <f t="shared" si="49"/>
        <v>319.71247284992984</v>
      </c>
      <c r="F36" s="1475">
        <f t="shared" si="49"/>
        <v>175.67053622862409</v>
      </c>
      <c r="G36" s="3307">
        <v>2010</v>
      </c>
      <c r="H36" s="1461">
        <v>1</v>
      </c>
      <c r="I36" s="1461">
        <v>5.4</v>
      </c>
      <c r="J36" s="1461">
        <v>3.2</v>
      </c>
      <c r="K36" s="1461">
        <v>6.16</v>
      </c>
      <c r="L36" s="1476">
        <v>4.51</v>
      </c>
      <c r="N36" s="1470">
        <f t="shared" si="36"/>
        <v>5.4000000000000006E-2</v>
      </c>
      <c r="O36" s="1471">
        <f t="shared" si="36"/>
        <v>3.2000000000000001E-2</v>
      </c>
      <c r="P36" s="1471">
        <f t="shared" si="36"/>
        <v>6.1600000000000002E-2</v>
      </c>
      <c r="Q36" s="1471">
        <f t="shared" si="36"/>
        <v>4.5100000000000001E-2</v>
      </c>
      <c r="R36" s="1472"/>
      <c r="S36" s="1478">
        <f>B36/B37-1</f>
        <v>5.4863199037347599E-2</v>
      </c>
      <c r="T36" s="1479">
        <f>C36/C37-1</f>
        <v>3.0742184721226584E-2</v>
      </c>
      <c r="U36" s="1479">
        <f>E36/E37-1</f>
        <v>6.2167683886810154E-2</v>
      </c>
      <c r="V36" s="1479">
        <f>F36/F37-1</f>
        <v>4.5657953741810031E-2</v>
      </c>
      <c r="X36" s="1457"/>
      <c r="Y36" s="1457"/>
      <c r="Z36" s="1457"/>
    </row>
    <row r="37" spans="1:26" ht="13.5" thickBot="1">
      <c r="A37" s="1458" t="s">
        <v>1180</v>
      </c>
      <c r="B37" s="1467">
        <v>220</v>
      </c>
      <c r="C37" s="1467">
        <v>187</v>
      </c>
      <c r="D37" s="1467">
        <f t="shared" si="34"/>
        <v>187</v>
      </c>
      <c r="E37" s="1467">
        <v>301</v>
      </c>
      <c r="F37" s="1468">
        <v>168</v>
      </c>
      <c r="G37" s="3305">
        <v>2009</v>
      </c>
      <c r="H37" s="1480">
        <v>4</v>
      </c>
      <c r="I37" s="1480">
        <v>2.2999999999999998</v>
      </c>
      <c r="J37" s="1480">
        <v>1.04</v>
      </c>
      <c r="K37" s="1480">
        <v>2.84</v>
      </c>
      <c r="L37" s="1481">
        <v>0.67</v>
      </c>
      <c r="N37" s="1482">
        <f t="shared" si="36"/>
        <v>2.3E-2</v>
      </c>
      <c r="O37" s="1483">
        <f t="shared" si="36"/>
        <v>1.04E-2</v>
      </c>
      <c r="P37" s="1483">
        <f t="shared" si="36"/>
        <v>2.8399999999999998E-2</v>
      </c>
      <c r="Q37" s="1483">
        <f t="shared" si="36"/>
        <v>6.7000000000000002E-3</v>
      </c>
      <c r="R37" s="1472"/>
      <c r="S37" s="1473"/>
      <c r="T37" s="1474"/>
      <c r="U37" s="1474"/>
      <c r="V37" s="1474"/>
      <c r="X37" s="1474"/>
      <c r="Y37" s="1474"/>
      <c r="Z37" s="1474"/>
    </row>
    <row r="38" spans="1:26">
      <c r="A38" s="1458" t="s">
        <v>1181</v>
      </c>
      <c r="B38" s="1475">
        <f t="shared" ref="B38:C40" si="50">B37/(1+N37)</f>
        <v>215.05376344086022</v>
      </c>
      <c r="C38" s="1475">
        <f t="shared" si="50"/>
        <v>185.0752177355503</v>
      </c>
      <c r="D38" s="1475">
        <f t="shared" si="34"/>
        <v>185.0752177355503</v>
      </c>
      <c r="E38" s="1475">
        <f t="shared" ref="E38:F40" si="51">E37/(1+P37)</f>
        <v>292.68767016725008</v>
      </c>
      <c r="F38" s="1475">
        <f t="shared" si="51"/>
        <v>166.88189132810174</v>
      </c>
      <c r="G38" s="3306">
        <v>2009</v>
      </c>
      <c r="H38" s="1485">
        <v>3</v>
      </c>
      <c r="I38" s="1485">
        <v>2.1</v>
      </c>
      <c r="J38" s="1485">
        <v>1.86</v>
      </c>
      <c r="K38" s="1485">
        <v>2.29</v>
      </c>
      <c r="L38" s="1486">
        <v>0.85</v>
      </c>
      <c r="N38" s="1470">
        <f t="shared" si="36"/>
        <v>2.1000000000000001E-2</v>
      </c>
      <c r="O38" s="1487">
        <f t="shared" si="36"/>
        <v>1.8600000000000002E-2</v>
      </c>
      <c r="P38" s="1487">
        <f t="shared" si="36"/>
        <v>2.29E-2</v>
      </c>
      <c r="Q38" s="1487">
        <f t="shared" si="36"/>
        <v>8.5000000000000006E-3</v>
      </c>
      <c r="R38" s="1472"/>
      <c r="S38" s="1470"/>
      <c r="T38" s="1471"/>
      <c r="U38" s="1471"/>
      <c r="V38" s="1471"/>
    </row>
    <row r="39" spans="1:26">
      <c r="A39" s="1458" t="s">
        <v>1182</v>
      </c>
      <c r="B39" s="1475">
        <f t="shared" si="50"/>
        <v>210.630522469011</v>
      </c>
      <c r="C39" s="1475">
        <f t="shared" si="50"/>
        <v>181.69567812247232</v>
      </c>
      <c r="D39" s="1475">
        <f t="shared" si="34"/>
        <v>181.69567812247232</v>
      </c>
      <c r="E39" s="1475">
        <f t="shared" si="51"/>
        <v>286.13517466736738</v>
      </c>
      <c r="F39" s="1475">
        <f t="shared" si="51"/>
        <v>165.47535084591149</v>
      </c>
      <c r="G39" s="3306">
        <v>2009</v>
      </c>
      <c r="H39" s="1462">
        <v>2</v>
      </c>
      <c r="I39" s="1462">
        <v>0.86</v>
      </c>
      <c r="J39" s="1462">
        <v>-1.1299999999999999</v>
      </c>
      <c r="K39" s="1462">
        <v>1.79</v>
      </c>
      <c r="L39" s="1477">
        <v>-2.0699999999999998</v>
      </c>
      <c r="N39" s="1470">
        <f t="shared" si="36"/>
        <v>8.6E-3</v>
      </c>
      <c r="O39" s="1487">
        <f t="shared" si="36"/>
        <v>-1.1299999999999999E-2</v>
      </c>
      <c r="P39" s="1487">
        <f t="shared" si="36"/>
        <v>1.7899999999999999E-2</v>
      </c>
      <c r="Q39" s="1487">
        <f t="shared" si="36"/>
        <v>-2.07E-2</v>
      </c>
      <c r="R39" s="1472"/>
      <c r="S39" s="1470"/>
      <c r="T39" s="1471"/>
      <c r="U39" s="1471"/>
      <c r="V39" s="1471"/>
    </row>
    <row r="40" spans="1:26">
      <c r="A40" s="1458" t="s">
        <v>1183</v>
      </c>
      <c r="B40" s="1475">
        <f t="shared" si="50"/>
        <v>208.83454537875372</v>
      </c>
      <c r="C40" s="1475">
        <f t="shared" si="50"/>
        <v>183.77230517090351</v>
      </c>
      <c r="D40" s="1475">
        <f t="shared" si="34"/>
        <v>183.77230517090351</v>
      </c>
      <c r="E40" s="1475">
        <f t="shared" si="51"/>
        <v>281.10342338870947</v>
      </c>
      <c r="F40" s="1475">
        <f t="shared" si="51"/>
        <v>168.97309388942256</v>
      </c>
      <c r="G40" s="3307">
        <v>2009</v>
      </c>
      <c r="H40" s="1461">
        <v>1</v>
      </c>
      <c r="I40" s="1461">
        <v>-2.64</v>
      </c>
      <c r="J40" s="1461">
        <v>-2.5299999999999998</v>
      </c>
      <c r="K40" s="1461">
        <v>-3.02</v>
      </c>
      <c r="L40" s="1476">
        <v>1.52</v>
      </c>
      <c r="N40" s="1478">
        <f t="shared" si="36"/>
        <v>-2.64E-2</v>
      </c>
      <c r="O40" s="1479">
        <f t="shared" si="36"/>
        <v>-2.53E-2</v>
      </c>
      <c r="P40" s="1479">
        <f t="shared" si="36"/>
        <v>-3.0200000000000001E-2</v>
      </c>
      <c r="Q40" s="1479">
        <f t="shared" si="36"/>
        <v>1.52E-2</v>
      </c>
      <c r="R40" s="1472"/>
      <c r="S40" s="1478">
        <f>B40/B41-1</f>
        <v>-2.4137638417038754E-2</v>
      </c>
      <c r="T40" s="1479">
        <f>C40/C41-1</f>
        <v>-2.248773845264096E-2</v>
      </c>
      <c r="U40" s="1479">
        <f>E40/E41-1</f>
        <v>-2.7323794502735366E-2</v>
      </c>
      <c r="V40" s="1479">
        <f>F40/F41-1</f>
        <v>1.7910204153148035E-2</v>
      </c>
      <c r="X40" s="1457"/>
      <c r="Y40" s="1457"/>
      <c r="Z40" s="1457"/>
    </row>
    <row r="41" spans="1:26" ht="13.5" thickBot="1">
      <c r="A41" s="1458" t="s">
        <v>1184</v>
      </c>
      <c r="B41" s="1509">
        <v>214</v>
      </c>
      <c r="C41" s="1509">
        <v>188</v>
      </c>
      <c r="D41" s="1509">
        <f t="shared" si="34"/>
        <v>188</v>
      </c>
      <c r="E41" s="1509">
        <v>289</v>
      </c>
      <c r="F41" s="1510">
        <v>166</v>
      </c>
      <c r="G41" s="3305">
        <v>2008</v>
      </c>
      <c r="H41" s="1480">
        <v>4</v>
      </c>
      <c r="I41" s="1480">
        <v>1.73</v>
      </c>
      <c r="J41" s="1480">
        <v>0.03</v>
      </c>
      <c r="K41" s="1480">
        <v>2.59</v>
      </c>
      <c r="L41" s="1481">
        <v>-1.66</v>
      </c>
      <c r="N41" s="1470">
        <f t="shared" si="36"/>
        <v>1.7299999999999999E-2</v>
      </c>
      <c r="O41" s="1471">
        <f t="shared" si="36"/>
        <v>2.9999999999999997E-4</v>
      </c>
      <c r="P41" s="1471">
        <f t="shared" si="36"/>
        <v>2.5899999999999999E-2</v>
      </c>
      <c r="Q41" s="1471">
        <f t="shared" si="36"/>
        <v>-1.66E-2</v>
      </c>
      <c r="R41" s="1472"/>
      <c r="S41" s="1473"/>
      <c r="T41" s="1474"/>
      <c r="U41" s="1474"/>
      <c r="V41" s="1474"/>
      <c r="X41" s="1474"/>
      <c r="Y41" s="1474"/>
      <c r="Z41" s="1474"/>
    </row>
    <row r="42" spans="1:26">
      <c r="A42" s="1458" t="s">
        <v>1185</v>
      </c>
      <c r="B42" s="1475">
        <f t="shared" ref="B42:C44" si="52">B41/(1+N41)</f>
        <v>210.36075887152265</v>
      </c>
      <c r="C42" s="1475">
        <f t="shared" si="52"/>
        <v>187.94361691492554</v>
      </c>
      <c r="D42" s="1475">
        <f t="shared" si="34"/>
        <v>187.94361691492554</v>
      </c>
      <c r="E42" s="1475">
        <f t="shared" ref="E42:F44" si="53">E41/(1+P41)</f>
        <v>281.70386977288234</v>
      </c>
      <c r="F42" s="1475">
        <f t="shared" si="53"/>
        <v>168.80211511083994</v>
      </c>
      <c r="G42" s="3306">
        <v>2008</v>
      </c>
      <c r="H42" s="1485">
        <v>3</v>
      </c>
      <c r="I42" s="1485">
        <v>1.96</v>
      </c>
      <c r="J42" s="1485">
        <v>2.36</v>
      </c>
      <c r="K42" s="1485">
        <v>1.82</v>
      </c>
      <c r="L42" s="1486">
        <v>2.2200000000000002</v>
      </c>
      <c r="N42" s="1470">
        <f t="shared" si="36"/>
        <v>1.9599999999999999E-2</v>
      </c>
      <c r="O42" s="1471">
        <f t="shared" si="36"/>
        <v>2.3599999999999999E-2</v>
      </c>
      <c r="P42" s="1471">
        <f t="shared" si="36"/>
        <v>1.8200000000000001E-2</v>
      </c>
      <c r="Q42" s="1471">
        <f t="shared" si="36"/>
        <v>2.2200000000000001E-2</v>
      </c>
      <c r="R42" s="1472"/>
      <c r="S42" s="1470"/>
      <c r="T42" s="1471"/>
      <c r="U42" s="1471"/>
      <c r="V42" s="1471"/>
    </row>
    <row r="43" spans="1:26">
      <c r="A43" s="1458" t="s">
        <v>1186</v>
      </c>
      <c r="B43" s="1475">
        <f t="shared" si="52"/>
        <v>206.31694671589116</v>
      </c>
      <c r="C43" s="1475">
        <f t="shared" si="52"/>
        <v>183.61041121036101</v>
      </c>
      <c r="D43" s="1475">
        <f t="shared" si="34"/>
        <v>183.61041121036101</v>
      </c>
      <c r="E43" s="1475">
        <f t="shared" si="53"/>
        <v>276.66850301795557</v>
      </c>
      <c r="F43" s="1475">
        <f t="shared" si="53"/>
        <v>165.1360938278614</v>
      </c>
      <c r="G43" s="3306">
        <v>2008</v>
      </c>
      <c r="H43" s="1462">
        <v>2</v>
      </c>
      <c r="I43" s="1462">
        <v>4.93</v>
      </c>
      <c r="J43" s="1462">
        <v>7.38</v>
      </c>
      <c r="K43" s="1462">
        <v>3.98</v>
      </c>
      <c r="L43" s="1477">
        <v>6.86</v>
      </c>
      <c r="N43" s="1470">
        <f t="shared" si="36"/>
        <v>4.9299999999999997E-2</v>
      </c>
      <c r="O43" s="1471">
        <f t="shared" si="36"/>
        <v>7.3800000000000004E-2</v>
      </c>
      <c r="P43" s="1471">
        <f t="shared" si="36"/>
        <v>3.9800000000000002E-2</v>
      </c>
      <c r="Q43" s="1471">
        <f t="shared" si="36"/>
        <v>6.8600000000000008E-2</v>
      </c>
      <c r="R43" s="1472"/>
      <c r="S43" s="1470"/>
      <c r="T43" s="1471"/>
      <c r="U43" s="1471"/>
      <c r="V43" s="1471"/>
    </row>
    <row r="44" spans="1:26" s="1515" customFormat="1" ht="13.5" thickBot="1">
      <c r="A44" s="1458" t="s">
        <v>1187</v>
      </c>
      <c r="B44" s="1512">
        <f t="shared" si="52"/>
        <v>196.62341248059772</v>
      </c>
      <c r="C44" s="1512">
        <f t="shared" si="52"/>
        <v>170.99125648199012</v>
      </c>
      <c r="D44" s="1512">
        <f t="shared" si="34"/>
        <v>170.99125648199012</v>
      </c>
      <c r="E44" s="1512">
        <f t="shared" si="53"/>
        <v>266.07857570490052</v>
      </c>
      <c r="F44" s="1512">
        <f t="shared" si="53"/>
        <v>154.53499328828505</v>
      </c>
      <c r="G44" s="3307">
        <v>2008</v>
      </c>
      <c r="H44" s="1513">
        <v>1</v>
      </c>
      <c r="I44" s="1513">
        <v>4.1399999999999997</v>
      </c>
      <c r="J44" s="1513">
        <v>3.45</v>
      </c>
      <c r="K44" s="1513">
        <v>4.95</v>
      </c>
      <c r="L44" s="1514">
        <v>4.82</v>
      </c>
      <c r="N44" s="1516">
        <f t="shared" si="36"/>
        <v>4.1399999999999999E-2</v>
      </c>
      <c r="O44" s="1517">
        <f t="shared" si="36"/>
        <v>3.4500000000000003E-2</v>
      </c>
      <c r="P44" s="1517">
        <f t="shared" si="36"/>
        <v>4.9500000000000002E-2</v>
      </c>
      <c r="Q44" s="1517">
        <f t="shared" si="36"/>
        <v>4.82E-2</v>
      </c>
      <c r="R44" s="1518"/>
      <c r="S44" s="1516">
        <f>B44/B45-1</f>
        <v>4.5869215322328349E-2</v>
      </c>
      <c r="T44" s="1517">
        <f>C44/C45-1</f>
        <v>3.6310645345394743E-2</v>
      </c>
      <c r="U44" s="1517">
        <f>E44/E45-1</f>
        <v>4.7553447657088688E-2</v>
      </c>
      <c r="V44" s="1517">
        <f>F44/F45-1</f>
        <v>4.4155360055980086E-2</v>
      </c>
      <c r="X44" s="1519"/>
      <c r="Y44" s="1519"/>
      <c r="Z44" s="1519"/>
    </row>
    <row r="45" spans="1:26" ht="13.5" thickBot="1">
      <c r="A45" s="1458" t="s">
        <v>1188</v>
      </c>
      <c r="B45" s="1467">
        <v>188</v>
      </c>
      <c r="C45" s="1467">
        <v>165</v>
      </c>
      <c r="D45" s="1467">
        <f t="shared" si="34"/>
        <v>165</v>
      </c>
      <c r="E45" s="1467">
        <v>254</v>
      </c>
      <c r="F45" s="1468">
        <v>148</v>
      </c>
      <c r="G45" s="3305">
        <v>2007</v>
      </c>
      <c r="H45" s="1520">
        <v>4</v>
      </c>
      <c r="I45" s="1520">
        <v>5.51</v>
      </c>
      <c r="J45" s="1520">
        <v>4.8899999999999997</v>
      </c>
      <c r="K45" s="1520">
        <v>6.43</v>
      </c>
      <c r="L45" s="1521">
        <v>5.36</v>
      </c>
      <c r="N45" s="1522">
        <f t="shared" ref="N45:O48" si="54">B45/B46-1</f>
        <v>4.1339718365245526E-2</v>
      </c>
      <c r="O45" s="1523">
        <f t="shared" si="54"/>
        <v>4.0324492593776018E-2</v>
      </c>
      <c r="P45" s="1523">
        <f t="shared" ref="P45:Q48" si="55">E45/E46-1</f>
        <v>6.1625555347990968E-2</v>
      </c>
      <c r="Q45" s="1523">
        <f t="shared" si="55"/>
        <v>4.6757569250590603E-2</v>
      </c>
      <c r="R45" s="1472"/>
      <c r="S45" s="1473"/>
      <c r="T45" s="1474"/>
      <c r="U45" s="1474"/>
      <c r="V45" s="1474"/>
      <c r="X45" s="1474"/>
      <c r="Y45" s="1474"/>
      <c r="Z45" s="1474"/>
    </row>
    <row r="46" spans="1:26">
      <c r="A46" s="1458" t="s">
        <v>1189</v>
      </c>
      <c r="B46" s="1475">
        <f t="shared" ref="B46:C48" si="56">B47+(B$45-B$49)*I46/SUM(I$45:I$48)</f>
        <v>180.5366651097618</v>
      </c>
      <c r="C46" s="1475">
        <f t="shared" si="56"/>
        <v>158.60435967302453</v>
      </c>
      <c r="D46" s="1475">
        <f t="shared" si="34"/>
        <v>158.60435967302453</v>
      </c>
      <c r="E46" s="1475">
        <f t="shared" ref="E46:F48" si="57">E47+(E$45-E$49)*K46/SUM(K$45:K$48)</f>
        <v>239.25573260785075</v>
      </c>
      <c r="F46" s="1475">
        <f t="shared" si="57"/>
        <v>141.38899430740037</v>
      </c>
      <c r="G46" s="3306">
        <v>2007</v>
      </c>
      <c r="H46" s="1485">
        <v>3</v>
      </c>
      <c r="I46" s="1485">
        <v>8.65</v>
      </c>
      <c r="J46" s="1485">
        <v>8.06</v>
      </c>
      <c r="K46" s="1485">
        <v>9.94</v>
      </c>
      <c r="L46" s="1486">
        <v>5.8</v>
      </c>
      <c r="N46" s="1522">
        <f t="shared" si="54"/>
        <v>6.940217571740015E-2</v>
      </c>
      <c r="O46" s="1523">
        <f t="shared" si="54"/>
        <v>7.1197482471153428E-2</v>
      </c>
      <c r="P46" s="1523">
        <f t="shared" si="55"/>
        <v>0.10529679922579582</v>
      </c>
      <c r="Q46" s="1523">
        <f t="shared" si="55"/>
        <v>5.3292245059512133E-2</v>
      </c>
      <c r="R46" s="1472"/>
      <c r="S46" s="1470"/>
      <c r="T46" s="1471"/>
      <c r="U46" s="1471"/>
      <c r="V46" s="1471"/>
      <c r="X46" s="1524"/>
      <c r="Y46" s="1524"/>
      <c r="Z46" s="1524"/>
    </row>
    <row r="47" spans="1:26">
      <c r="A47" s="1458" t="s">
        <v>1190</v>
      </c>
      <c r="B47" s="1475">
        <f t="shared" si="56"/>
        <v>168.82017748715555</v>
      </c>
      <c r="C47" s="1475">
        <f t="shared" si="56"/>
        <v>148.06267029972753</v>
      </c>
      <c r="D47" s="1475">
        <f t="shared" si="34"/>
        <v>148.06267029972753</v>
      </c>
      <c r="E47" s="1475">
        <f t="shared" si="57"/>
        <v>216.46288379323747</v>
      </c>
      <c r="F47" s="1475">
        <f t="shared" si="57"/>
        <v>134.23529411764704</v>
      </c>
      <c r="G47" s="3306">
        <v>2007</v>
      </c>
      <c r="H47" s="1462">
        <v>2</v>
      </c>
      <c r="I47" s="1462">
        <v>3.67</v>
      </c>
      <c r="J47" s="1462">
        <v>2.3199999999999998</v>
      </c>
      <c r="K47" s="1462">
        <v>5.0199999999999996</v>
      </c>
      <c r="L47" s="1477">
        <v>6.71</v>
      </c>
      <c r="N47" s="1522">
        <f t="shared" si="54"/>
        <v>3.0339138143848032E-2</v>
      </c>
      <c r="O47" s="1523">
        <f t="shared" si="54"/>
        <v>2.0922341588790472E-2</v>
      </c>
      <c r="P47" s="1523">
        <f t="shared" si="55"/>
        <v>5.6164796592717003E-2</v>
      </c>
      <c r="Q47" s="1523">
        <f t="shared" si="55"/>
        <v>6.5704536723887319E-2</v>
      </c>
      <c r="R47" s="1472"/>
      <c r="S47" s="1470"/>
      <c r="T47" s="1471"/>
      <c r="U47" s="1471"/>
      <c r="V47" s="1471"/>
      <c r="X47" s="1524"/>
      <c r="Y47" s="1524"/>
      <c r="Z47" s="1524"/>
    </row>
    <row r="48" spans="1:26">
      <c r="A48" s="1458" t="s">
        <v>1191</v>
      </c>
      <c r="B48" s="1475">
        <f t="shared" si="56"/>
        <v>163.84913591779542</v>
      </c>
      <c r="C48" s="1475">
        <f t="shared" si="56"/>
        <v>145.0283378746594</v>
      </c>
      <c r="D48" s="1475">
        <f t="shared" si="34"/>
        <v>145.0283378746594</v>
      </c>
      <c r="E48" s="1475">
        <f t="shared" si="57"/>
        <v>204.95180722891567</v>
      </c>
      <c r="F48" s="1475">
        <f t="shared" si="57"/>
        <v>125.95920303605313</v>
      </c>
      <c r="G48" s="3307">
        <v>2007</v>
      </c>
      <c r="H48" s="1461">
        <v>1</v>
      </c>
      <c r="I48" s="1461">
        <v>3.58</v>
      </c>
      <c r="J48" s="1461">
        <v>3.08</v>
      </c>
      <c r="K48" s="1461">
        <v>4.34</v>
      </c>
      <c r="L48" s="1476">
        <v>3.21</v>
      </c>
      <c r="N48" s="1525">
        <f t="shared" si="54"/>
        <v>3.0497710174814063E-2</v>
      </c>
      <c r="O48" s="1526">
        <f t="shared" si="54"/>
        <v>2.8569772160704998E-2</v>
      </c>
      <c r="P48" s="1526">
        <f t="shared" si="55"/>
        <v>5.1034908866234296E-2</v>
      </c>
      <c r="Q48" s="1526">
        <f t="shared" si="55"/>
        <v>3.245248390207478E-2</v>
      </c>
      <c r="R48" s="1472"/>
      <c r="S48" s="1478">
        <f>B48/B49-1</f>
        <v>3.0497710174814063E-2</v>
      </c>
      <c r="T48" s="1479">
        <f>C48/C49-1</f>
        <v>2.8569772160704998E-2</v>
      </c>
      <c r="U48" s="1479">
        <f>E48/E49-1</f>
        <v>5.1034908866234296E-2</v>
      </c>
      <c r="V48" s="1479">
        <f>F48/F49-1</f>
        <v>3.245248390207478E-2</v>
      </c>
      <c r="X48" s="1524"/>
      <c r="Y48" s="1524"/>
      <c r="Z48" s="1524"/>
    </row>
    <row r="49" spans="1:26" ht="13.5" thickBot="1">
      <c r="A49" s="1458" t="s">
        <v>1192</v>
      </c>
      <c r="B49" s="1488">
        <v>159</v>
      </c>
      <c r="C49" s="1488">
        <v>141</v>
      </c>
      <c r="D49" s="1488">
        <f t="shared" si="34"/>
        <v>141</v>
      </c>
      <c r="E49" s="1488">
        <v>195</v>
      </c>
      <c r="F49" s="1489">
        <v>122</v>
      </c>
      <c r="G49" s="3305">
        <v>2006</v>
      </c>
      <c r="H49" s="1480">
        <v>4</v>
      </c>
      <c r="I49" s="1480">
        <v>3.79</v>
      </c>
      <c r="J49" s="1480">
        <v>2.21</v>
      </c>
      <c r="K49" s="1480">
        <v>5.65</v>
      </c>
      <c r="L49" s="1481">
        <v>5.41</v>
      </c>
      <c r="N49" s="1522">
        <f t="shared" ref="N49:O52" si="58">I49/SUM(I$49:I$52)*(B$49/B$53-1)</f>
        <v>7.245466462748526E-2</v>
      </c>
      <c r="O49" s="1523">
        <f t="shared" si="58"/>
        <v>2.3237230038062766E-2</v>
      </c>
      <c r="P49" s="1523">
        <f t="shared" ref="P49:Q52" si="59">K49/SUM(K$49:K$52)*(E$49/E$53-1)</f>
        <v>0.16146893866323722</v>
      </c>
      <c r="Q49" s="1523">
        <f t="shared" si="59"/>
        <v>5.0755230321793784E-2</v>
      </c>
      <c r="R49" s="1472"/>
      <c r="S49" s="1473"/>
      <c r="T49" s="1474"/>
      <c r="U49" s="1474"/>
      <c r="V49" s="1474"/>
      <c r="X49" s="1524"/>
      <c r="Y49" s="1524"/>
      <c r="Z49" s="1524"/>
    </row>
    <row r="50" spans="1:26">
      <c r="A50" s="1458" t="s">
        <v>1193</v>
      </c>
      <c r="B50" s="1475">
        <f t="shared" ref="B50:C52" si="60">B51+(B$49-B$53)*I50/SUM(I$49:I$52)</f>
        <v>149.00125628140702</v>
      </c>
      <c r="C50" s="1475">
        <f t="shared" si="60"/>
        <v>137.95592286501378</v>
      </c>
      <c r="D50" s="1475">
        <f t="shared" si="34"/>
        <v>137.95592286501378</v>
      </c>
      <c r="E50" s="1475">
        <f t="shared" ref="E50:F52" si="61">E51+(E$49-E$53)*K50/SUM(K$49:K$52)</f>
        <v>169.97231450719823</v>
      </c>
      <c r="F50" s="1475">
        <f t="shared" si="61"/>
        <v>116.21390374331551</v>
      </c>
      <c r="G50" s="3306">
        <v>2006</v>
      </c>
      <c r="H50" s="1485">
        <v>3</v>
      </c>
      <c r="I50" s="1485">
        <v>0.92</v>
      </c>
      <c r="J50" s="1485">
        <v>1.08</v>
      </c>
      <c r="K50" s="1485">
        <v>0.73</v>
      </c>
      <c r="L50" s="1486">
        <v>1.08</v>
      </c>
      <c r="N50" s="1522">
        <f t="shared" si="58"/>
        <v>1.7587939698492462E-2</v>
      </c>
      <c r="O50" s="1523">
        <f t="shared" si="58"/>
        <v>1.1355750425840628E-2</v>
      </c>
      <c r="P50" s="1523">
        <f t="shared" si="59"/>
        <v>2.0862358446754544E-2</v>
      </c>
      <c r="Q50" s="1523">
        <f t="shared" si="59"/>
        <v>1.0132282578103011E-2</v>
      </c>
      <c r="R50" s="1472"/>
      <c r="S50" s="1470"/>
      <c r="T50" s="1471"/>
      <c r="U50" s="1471"/>
      <c r="V50" s="1471"/>
      <c r="X50" s="1524"/>
      <c r="Y50" s="1524"/>
      <c r="Z50" s="1524"/>
    </row>
    <row r="51" spans="1:26">
      <c r="A51" s="1458" t="s">
        <v>1194</v>
      </c>
      <c r="B51" s="1475">
        <f t="shared" si="60"/>
        <v>146.57412060301507</v>
      </c>
      <c r="C51" s="1475">
        <f t="shared" si="60"/>
        <v>136.46831955922866</v>
      </c>
      <c r="D51" s="1475">
        <f t="shared" si="34"/>
        <v>136.46831955922866</v>
      </c>
      <c r="E51" s="1475">
        <f t="shared" si="61"/>
        <v>166.73864894795128</v>
      </c>
      <c r="F51" s="1475">
        <f t="shared" si="61"/>
        <v>115.05882352941177</v>
      </c>
      <c r="G51" s="3306">
        <v>2006</v>
      </c>
      <c r="H51" s="1462">
        <v>2</v>
      </c>
      <c r="I51" s="1462">
        <v>0.96</v>
      </c>
      <c r="J51" s="1462">
        <v>0.25</v>
      </c>
      <c r="K51" s="1462">
        <v>1.9</v>
      </c>
      <c r="L51" s="1477">
        <v>0.95</v>
      </c>
      <c r="N51" s="1522">
        <f t="shared" si="58"/>
        <v>1.8352632728861701E-2</v>
      </c>
      <c r="O51" s="1523">
        <f t="shared" si="58"/>
        <v>2.6286459319075526E-3</v>
      </c>
      <c r="P51" s="1523">
        <f t="shared" si="59"/>
        <v>5.4299289107991269E-2</v>
      </c>
      <c r="Q51" s="1523">
        <f t="shared" si="59"/>
        <v>8.9126559714794995E-3</v>
      </c>
      <c r="R51" s="1472"/>
      <c r="S51" s="1470"/>
      <c r="T51" s="1471"/>
      <c r="U51" s="1471"/>
      <c r="V51" s="1471"/>
      <c r="X51" s="1524"/>
      <c r="Y51" s="1524"/>
      <c r="Z51" s="1524"/>
    </row>
    <row r="52" spans="1:26">
      <c r="A52" s="1458" t="s">
        <v>1195</v>
      </c>
      <c r="B52" s="1475">
        <f t="shared" si="60"/>
        <v>144.04145728643215</v>
      </c>
      <c r="C52" s="1475">
        <f t="shared" si="60"/>
        <v>136.12396694214877</v>
      </c>
      <c r="D52" s="1475">
        <f t="shared" si="34"/>
        <v>136.12396694214877</v>
      </c>
      <c r="E52" s="1475">
        <f t="shared" si="61"/>
        <v>158.32225913621264</v>
      </c>
      <c r="F52" s="1475">
        <f t="shared" si="61"/>
        <v>114.04278074866311</v>
      </c>
      <c r="G52" s="3307">
        <v>2006</v>
      </c>
      <c r="H52" s="1461">
        <v>1</v>
      </c>
      <c r="I52" s="1461">
        <v>2.29</v>
      </c>
      <c r="J52" s="1461">
        <v>3.72</v>
      </c>
      <c r="K52" s="1461">
        <v>0.75</v>
      </c>
      <c r="L52" s="1476">
        <v>0.04</v>
      </c>
      <c r="N52" s="1525">
        <f t="shared" si="58"/>
        <v>4.3778675988638847E-2</v>
      </c>
      <c r="O52" s="1526">
        <f t="shared" si="58"/>
        <v>3.9114251466784385E-2</v>
      </c>
      <c r="P52" s="1526">
        <f t="shared" si="59"/>
        <v>2.1433929911049188E-2</v>
      </c>
      <c r="Q52" s="1526">
        <f t="shared" si="59"/>
        <v>3.7526972511492629E-4</v>
      </c>
      <c r="R52" s="1472"/>
      <c r="S52" s="1478">
        <f>B52/B53-1</f>
        <v>4.3778675988638716E-2</v>
      </c>
      <c r="T52" s="1479">
        <f>C52/C53-1</f>
        <v>3.91142514667846E-2</v>
      </c>
      <c r="U52" s="1479">
        <f>E52/E53-1</f>
        <v>2.143392991104931E-2</v>
      </c>
      <c r="V52" s="1479">
        <f>F52/F53-1</f>
        <v>3.7526972511492396E-4</v>
      </c>
      <c r="X52" s="1524"/>
      <c r="Y52" s="1524"/>
      <c r="Z52" s="1524"/>
    </row>
    <row r="53" spans="1:26" ht="13.5" thickBot="1">
      <c r="A53" s="1458" t="s">
        <v>1196</v>
      </c>
      <c r="B53" s="1488">
        <v>138</v>
      </c>
      <c r="C53" s="1488">
        <v>131</v>
      </c>
      <c r="D53" s="1488">
        <f t="shared" si="34"/>
        <v>131</v>
      </c>
      <c r="E53" s="1488">
        <v>155</v>
      </c>
      <c r="F53" s="1489">
        <v>114</v>
      </c>
      <c r="G53" s="3305">
        <v>2005</v>
      </c>
      <c r="H53" s="1480">
        <v>4</v>
      </c>
      <c r="I53" s="1480">
        <v>3.29</v>
      </c>
      <c r="J53" s="1480">
        <v>1.44</v>
      </c>
      <c r="K53" s="1480">
        <v>0.66</v>
      </c>
      <c r="L53" s="1481">
        <v>7.78</v>
      </c>
      <c r="N53" s="1522">
        <f t="shared" ref="N53:O56" si="62">I53/SUM(I$53:I$56)*(B$53/B$57-1)</f>
        <v>9.9404603216919935E-2</v>
      </c>
      <c r="O53" s="1523">
        <f t="shared" si="62"/>
        <v>4.7636550760861554E-2</v>
      </c>
      <c r="P53" s="1523">
        <f t="shared" ref="P53:Q56" si="63">K53/SUM(K$53:K$56)*(E$53/E$57-1)</f>
        <v>8.3756345177664976E-2</v>
      </c>
      <c r="Q53" s="1523">
        <f t="shared" si="63"/>
        <v>5.2148766661559584E-2</v>
      </c>
      <c r="R53" s="1472"/>
      <c r="S53" s="1473"/>
      <c r="T53" s="1474"/>
      <c r="U53" s="1474"/>
      <c r="V53" s="1474"/>
      <c r="X53" s="1524"/>
      <c r="Y53" s="1524"/>
      <c r="Z53" s="1524"/>
    </row>
    <row r="54" spans="1:26">
      <c r="A54" s="1458" t="s">
        <v>1197</v>
      </c>
      <c r="B54" s="1475">
        <f t="shared" ref="B54:C56" si="64">B55+(B$53-B$57)*I54/SUM(I$53:I$56)</f>
        <v>125.9720430107527</v>
      </c>
      <c r="C54" s="1475">
        <f t="shared" si="64"/>
        <v>125.1883408071749</v>
      </c>
      <c r="D54" s="1475">
        <f t="shared" si="34"/>
        <v>125.1883408071749</v>
      </c>
      <c r="E54" s="1475">
        <f t="shared" ref="E54:F56" si="65">E55+(E$53-E$57)*K54/SUM(K$53:K$56)</f>
        <v>144.61421319796952</v>
      </c>
      <c r="F54" s="1475">
        <f t="shared" si="65"/>
        <v>108.42008196721311</v>
      </c>
      <c r="G54" s="3306">
        <v>2005</v>
      </c>
      <c r="H54" s="1485">
        <v>3</v>
      </c>
      <c r="I54" s="1485">
        <v>0.46</v>
      </c>
      <c r="J54" s="1485">
        <v>0.32</v>
      </c>
      <c r="K54" s="1485">
        <v>0.42</v>
      </c>
      <c r="L54" s="1486">
        <v>0.64</v>
      </c>
      <c r="N54" s="1522">
        <f t="shared" si="62"/>
        <v>1.3898515951301874E-2</v>
      </c>
      <c r="O54" s="1523">
        <f t="shared" si="62"/>
        <v>1.0585900169080346E-2</v>
      </c>
      <c r="P54" s="1523">
        <f t="shared" si="63"/>
        <v>5.3299492385786795E-2</v>
      </c>
      <c r="Q54" s="1523">
        <f t="shared" si="63"/>
        <v>4.2898728359123568E-3</v>
      </c>
      <c r="R54" s="1472"/>
      <c r="S54" s="1470"/>
      <c r="T54" s="1471"/>
      <c r="U54" s="1471"/>
      <c r="V54" s="1471"/>
      <c r="X54" s="1524"/>
      <c r="Y54" s="1524"/>
      <c r="Z54" s="1524"/>
    </row>
    <row r="55" spans="1:26">
      <c r="A55" s="1458" t="s">
        <v>1198</v>
      </c>
      <c r="B55" s="1475">
        <f t="shared" si="64"/>
        <v>124.29032258064517</v>
      </c>
      <c r="C55" s="1475">
        <f t="shared" si="64"/>
        <v>123.8968609865471</v>
      </c>
      <c r="D55" s="1475">
        <f t="shared" si="34"/>
        <v>123.8968609865471</v>
      </c>
      <c r="E55" s="1475">
        <f t="shared" si="65"/>
        <v>138.00507614213197</v>
      </c>
      <c r="F55" s="1475">
        <f t="shared" si="65"/>
        <v>107.96106557377048</v>
      </c>
      <c r="G55" s="3306">
        <v>2005</v>
      </c>
      <c r="H55" s="1462">
        <v>2</v>
      </c>
      <c r="I55" s="1462">
        <v>0.47</v>
      </c>
      <c r="J55" s="1462">
        <v>0.1</v>
      </c>
      <c r="K55" s="1462">
        <v>0.52</v>
      </c>
      <c r="L55" s="1477">
        <v>0.79</v>
      </c>
      <c r="N55" s="1522">
        <f t="shared" si="62"/>
        <v>1.420065760241713E-2</v>
      </c>
      <c r="O55" s="1523">
        <f t="shared" si="62"/>
        <v>3.3080938028376083E-3</v>
      </c>
      <c r="P55" s="1523">
        <f t="shared" si="63"/>
        <v>6.598984771573603E-2</v>
      </c>
      <c r="Q55" s="1523">
        <f t="shared" si="63"/>
        <v>5.2953117818293153E-3</v>
      </c>
      <c r="R55" s="1472"/>
      <c r="S55" s="1470"/>
      <c r="T55" s="1471"/>
      <c r="U55" s="1471"/>
      <c r="V55" s="1471"/>
      <c r="X55" s="1524"/>
      <c r="Y55" s="1524"/>
      <c r="Z55" s="1524"/>
    </row>
    <row r="56" spans="1:26">
      <c r="A56" s="1458" t="s">
        <v>1199</v>
      </c>
      <c r="B56" s="1475">
        <f t="shared" si="64"/>
        <v>122.57204301075269</v>
      </c>
      <c r="C56" s="1475">
        <f t="shared" si="64"/>
        <v>123.4932735426009</v>
      </c>
      <c r="D56" s="1475">
        <f t="shared" si="34"/>
        <v>123.4932735426009</v>
      </c>
      <c r="E56" s="1475">
        <f t="shared" si="65"/>
        <v>129.82233502538071</v>
      </c>
      <c r="F56" s="1475">
        <f t="shared" si="65"/>
        <v>107.39446721311475</v>
      </c>
      <c r="G56" s="3307">
        <v>2005</v>
      </c>
      <c r="H56" s="1461">
        <v>1</v>
      </c>
      <c r="I56" s="1461">
        <v>0.43</v>
      </c>
      <c r="J56" s="1461">
        <v>0.37</v>
      </c>
      <c r="K56" s="1461">
        <v>0.37</v>
      </c>
      <c r="L56" s="1476">
        <v>0.55000000000000004</v>
      </c>
      <c r="N56" s="1525">
        <f t="shared" si="62"/>
        <v>1.2992090997956099E-2</v>
      </c>
      <c r="O56" s="1526">
        <f t="shared" si="62"/>
        <v>1.2239947070499151E-2</v>
      </c>
      <c r="P56" s="1526">
        <f t="shared" si="63"/>
        <v>4.6954314720812178E-2</v>
      </c>
      <c r="Q56" s="1526">
        <f t="shared" si="63"/>
        <v>3.6866094683621815E-3</v>
      </c>
      <c r="R56" s="1472"/>
      <c r="S56" s="1478">
        <f>B56/B57-1</f>
        <v>1.2992090997956174E-2</v>
      </c>
      <c r="T56" s="1479">
        <f>C56/C57-1</f>
        <v>1.2239947070499246E-2</v>
      </c>
      <c r="U56" s="1479">
        <f>E56/E57-1</f>
        <v>4.695431472081224E-2</v>
      </c>
      <c r="V56" s="1479">
        <f>F56/F57-1</f>
        <v>3.6866094683620787E-3</v>
      </c>
      <c r="X56" s="1524"/>
      <c r="Y56" s="1524"/>
      <c r="Z56" s="1524"/>
    </row>
    <row r="57" spans="1:26" ht="13.5" thickBot="1">
      <c r="A57" s="1458" t="s">
        <v>1200</v>
      </c>
      <c r="B57" s="1509">
        <v>121</v>
      </c>
      <c r="C57" s="1509">
        <v>122</v>
      </c>
      <c r="D57" s="1509">
        <f t="shared" si="34"/>
        <v>122</v>
      </c>
      <c r="E57" s="1509">
        <v>124</v>
      </c>
      <c r="F57" s="1510">
        <v>107</v>
      </c>
      <c r="G57" s="3305">
        <v>2004</v>
      </c>
      <c r="H57" s="1480">
        <v>4</v>
      </c>
      <c r="I57" s="1480">
        <v>0.33</v>
      </c>
      <c r="J57" s="1480">
        <v>0.5</v>
      </c>
      <c r="K57" s="1480">
        <v>0.5</v>
      </c>
      <c r="L57" s="1481">
        <v>0</v>
      </c>
      <c r="N57" s="1522">
        <f t="shared" ref="N57:O60" si="66">I57/SUM(I$57:I$60)*(B$57/B$61-1)</f>
        <v>1.3391770148526898E-2</v>
      </c>
      <c r="O57" s="1523">
        <f t="shared" si="66"/>
        <v>1.063264221158958E-2</v>
      </c>
      <c r="P57" s="1523">
        <f t="shared" ref="P57:Q60" si="67">K57/SUM(K$57:K$60)*(E$57/E$61-1)</f>
        <v>2.2244466688911134E-2</v>
      </c>
      <c r="Q57" s="1523">
        <f t="shared" si="67"/>
        <v>0</v>
      </c>
      <c r="R57" s="1472"/>
      <c r="S57" s="1473"/>
      <c r="T57" s="1474"/>
      <c r="U57" s="1474"/>
      <c r="V57" s="1474"/>
      <c r="X57" s="1524"/>
      <c r="Y57" s="1524"/>
      <c r="Z57" s="1524"/>
    </row>
    <row r="58" spans="1:26">
      <c r="A58" s="1458" t="s">
        <v>1201</v>
      </c>
      <c r="B58" s="1475">
        <f t="shared" ref="B58:C60" si="68">B59+(B$57-B$61)*I58/SUM(I$57:I$60)</f>
        <v>119.51351351351352</v>
      </c>
      <c r="C58" s="1475">
        <f t="shared" si="68"/>
        <v>120.7878787878788</v>
      </c>
      <c r="D58" s="1475">
        <f t="shared" si="34"/>
        <v>120.7878787878788</v>
      </c>
      <c r="E58" s="1475">
        <f t="shared" ref="E58:F60" si="69">E59+(E$57-E$61)*K58/SUM(K$57:K$60)</f>
        <v>121.5975975975976</v>
      </c>
      <c r="F58" s="1475">
        <f t="shared" si="69"/>
        <v>107</v>
      </c>
      <c r="G58" s="3306">
        <v>2004</v>
      </c>
      <c r="H58" s="1485">
        <v>3</v>
      </c>
      <c r="I58" s="1485">
        <v>0.56000000000000005</v>
      </c>
      <c r="J58" s="1485">
        <v>0.8</v>
      </c>
      <c r="K58" s="1485">
        <v>0.83</v>
      </c>
      <c r="L58" s="1486">
        <v>0.06</v>
      </c>
      <c r="N58" s="1522">
        <f t="shared" si="66"/>
        <v>2.2725428130833527E-2</v>
      </c>
      <c r="O58" s="1523">
        <f t="shared" si="66"/>
        <v>1.7012227538543329E-2</v>
      </c>
      <c r="P58" s="1523">
        <f t="shared" si="67"/>
        <v>3.6925814703592477E-2</v>
      </c>
      <c r="Q58" s="1523">
        <f t="shared" si="67"/>
        <v>2.8846153846153744E-2</v>
      </c>
      <c r="R58" s="1472"/>
      <c r="S58" s="1470"/>
      <c r="T58" s="1471"/>
      <c r="U58" s="1471"/>
      <c r="V58" s="1471"/>
      <c r="X58" s="1524"/>
      <c r="Y58" s="1524"/>
      <c r="Z58" s="1524"/>
    </row>
    <row r="59" spans="1:26">
      <c r="A59" s="1458" t="s">
        <v>1202</v>
      </c>
      <c r="B59" s="1475">
        <f t="shared" si="68"/>
        <v>116.99099099099099</v>
      </c>
      <c r="C59" s="1475">
        <f t="shared" si="68"/>
        <v>118.84848484848486</v>
      </c>
      <c r="D59" s="1475">
        <f t="shared" si="34"/>
        <v>118.84848484848486</v>
      </c>
      <c r="E59" s="1475">
        <f t="shared" si="69"/>
        <v>117.60960960960961</v>
      </c>
      <c r="F59" s="1475">
        <f t="shared" si="69"/>
        <v>104</v>
      </c>
      <c r="G59" s="3306">
        <v>2004</v>
      </c>
      <c r="H59" s="1462">
        <v>2</v>
      </c>
      <c r="I59" s="1462">
        <v>1</v>
      </c>
      <c r="J59" s="1462">
        <v>1.5</v>
      </c>
      <c r="K59" s="1462">
        <v>1.5</v>
      </c>
      <c r="L59" s="1477">
        <v>0</v>
      </c>
      <c r="N59" s="1522">
        <f t="shared" si="66"/>
        <v>4.0581121662202721E-2</v>
      </c>
      <c r="O59" s="1523">
        <f t="shared" si="66"/>
        <v>3.1897926634768738E-2</v>
      </c>
      <c r="P59" s="1523">
        <f t="shared" si="67"/>
        <v>6.6733400066733395E-2</v>
      </c>
      <c r="Q59" s="1523">
        <f t="shared" si="67"/>
        <v>0</v>
      </c>
      <c r="R59" s="1472"/>
      <c r="S59" s="1470"/>
      <c r="T59" s="1471"/>
      <c r="U59" s="1471"/>
      <c r="V59" s="1471"/>
      <c r="X59" s="1524"/>
      <c r="Y59" s="1524"/>
      <c r="Z59" s="1524"/>
    </row>
    <row r="60" spans="1:26" s="1515" customFormat="1" ht="13.5" thickBot="1">
      <c r="A60" s="1458" t="s">
        <v>1203</v>
      </c>
      <c r="B60" s="1512">
        <f t="shared" si="68"/>
        <v>112.48648648648648</v>
      </c>
      <c r="C60" s="1512">
        <f t="shared" si="68"/>
        <v>115.21212121212122</v>
      </c>
      <c r="D60" s="1512">
        <f t="shared" si="34"/>
        <v>115.21212121212122</v>
      </c>
      <c r="E60" s="1512">
        <f t="shared" si="69"/>
        <v>110.4024024024024</v>
      </c>
      <c r="F60" s="1512">
        <f t="shared" si="69"/>
        <v>104</v>
      </c>
      <c r="G60" s="3307">
        <v>2004</v>
      </c>
      <c r="H60" s="1513">
        <v>1</v>
      </c>
      <c r="I60" s="1513">
        <v>0.33</v>
      </c>
      <c r="J60" s="1513">
        <v>0.5</v>
      </c>
      <c r="K60" s="1513">
        <v>0.5</v>
      </c>
      <c r="L60" s="1514">
        <v>0</v>
      </c>
      <c r="N60" s="1527">
        <f t="shared" si="66"/>
        <v>1.3391770148526898E-2</v>
      </c>
      <c r="O60" s="1528">
        <f t="shared" si="66"/>
        <v>1.063264221158958E-2</v>
      </c>
      <c r="P60" s="1528">
        <f t="shared" si="67"/>
        <v>2.2244466688911134E-2</v>
      </c>
      <c r="Q60" s="1528">
        <f t="shared" si="67"/>
        <v>0</v>
      </c>
      <c r="R60" s="1518"/>
      <c r="S60" s="1516">
        <f>B60/B61-1</f>
        <v>1.3391770148526883E-2</v>
      </c>
      <c r="T60" s="1517">
        <f>C60/C61-1</f>
        <v>1.063264221158966E-2</v>
      </c>
      <c r="U60" s="1517">
        <f>E60/E61-1</f>
        <v>2.2244466688911224E-2</v>
      </c>
      <c r="V60" s="1517">
        <f>F60/F61-1</f>
        <v>0</v>
      </c>
      <c r="X60" s="1529"/>
      <c r="Y60" s="1529"/>
      <c r="Z60" s="1529"/>
    </row>
    <row r="61" spans="1:26" ht="13.5" thickBot="1">
      <c r="A61" s="1458" t="s">
        <v>1204</v>
      </c>
      <c r="B61" s="1530">
        <v>111</v>
      </c>
      <c r="C61" s="1530">
        <v>114</v>
      </c>
      <c r="D61" s="1530">
        <f t="shared" si="34"/>
        <v>114</v>
      </c>
      <c r="E61" s="1530">
        <v>108</v>
      </c>
      <c r="F61" s="1531">
        <v>104</v>
      </c>
      <c r="G61" s="3305">
        <v>2003</v>
      </c>
      <c r="H61" s="1520">
        <v>4</v>
      </c>
      <c r="I61" s="1532"/>
      <c r="J61" s="1532"/>
      <c r="K61" s="1532"/>
      <c r="L61" s="1532"/>
      <c r="N61" s="1533"/>
      <c r="O61" s="1532"/>
      <c r="P61" s="1532"/>
      <c r="Q61" s="1532"/>
      <c r="S61" s="1533"/>
      <c r="T61" s="1532"/>
      <c r="U61" s="1532"/>
      <c r="V61" s="1532"/>
      <c r="X61" s="1524"/>
      <c r="Y61" s="1524"/>
      <c r="Z61" s="1524"/>
    </row>
    <row r="62" spans="1:26">
      <c r="A62" s="1458" t="s">
        <v>1205</v>
      </c>
      <c r="B62" s="1534">
        <f t="shared" ref="B62:C64" si="70">B63+(B$61-B$65)/4</f>
        <v>109.75</v>
      </c>
      <c r="C62" s="1534">
        <f t="shared" si="70"/>
        <v>112.25</v>
      </c>
      <c r="D62" s="1534">
        <f t="shared" si="34"/>
        <v>112.25</v>
      </c>
      <c r="E62" s="1534">
        <f t="shared" ref="E62:F64" si="71">E63+(E$61-E$65)/4</f>
        <v>107.25</v>
      </c>
      <c r="F62" s="1534">
        <f t="shared" si="71"/>
        <v>103.5</v>
      </c>
      <c r="G62" s="3306">
        <v>2003</v>
      </c>
      <c r="H62" s="1485">
        <v>3</v>
      </c>
      <c r="I62" s="1532"/>
      <c r="J62" s="1532"/>
      <c r="K62" s="1532"/>
      <c r="L62" s="1532"/>
      <c r="X62" s="1524"/>
      <c r="Y62" s="1524"/>
      <c r="Z62" s="1524"/>
    </row>
    <row r="63" spans="1:26">
      <c r="A63" s="1458" t="s">
        <v>1206</v>
      </c>
      <c r="B63" s="1534">
        <f t="shared" si="70"/>
        <v>108.5</v>
      </c>
      <c r="C63" s="1534">
        <f t="shared" si="70"/>
        <v>110.5</v>
      </c>
      <c r="D63" s="1534">
        <f t="shared" si="34"/>
        <v>110.5</v>
      </c>
      <c r="E63" s="1534">
        <f t="shared" si="71"/>
        <v>106.5</v>
      </c>
      <c r="F63" s="1534">
        <f t="shared" si="71"/>
        <v>103</v>
      </c>
      <c r="G63" s="3306">
        <v>2003</v>
      </c>
      <c r="H63" s="1462">
        <v>2</v>
      </c>
      <c r="I63" s="1532"/>
      <c r="J63" s="1532"/>
      <c r="K63" s="1532"/>
      <c r="L63" s="1532"/>
      <c r="X63" s="1524"/>
      <c r="Y63" s="1524"/>
      <c r="Z63" s="1524"/>
    </row>
    <row r="64" spans="1:26" ht="13.5" thickBot="1">
      <c r="A64" s="1458" t="s">
        <v>1207</v>
      </c>
      <c r="B64" s="1534">
        <f t="shared" si="70"/>
        <v>107.25</v>
      </c>
      <c r="C64" s="1534">
        <f t="shared" si="70"/>
        <v>108.75</v>
      </c>
      <c r="D64" s="1534">
        <f t="shared" si="34"/>
        <v>108.75</v>
      </c>
      <c r="E64" s="1534">
        <f t="shared" si="71"/>
        <v>105.75</v>
      </c>
      <c r="F64" s="1534">
        <f t="shared" si="71"/>
        <v>102.5</v>
      </c>
      <c r="G64" s="3307">
        <v>2003</v>
      </c>
      <c r="H64" s="1535">
        <v>1</v>
      </c>
      <c r="I64" s="1532"/>
      <c r="J64" s="1532"/>
      <c r="K64" s="1532"/>
      <c r="L64" s="1532"/>
      <c r="S64" s="1470"/>
      <c r="T64" s="1471"/>
      <c r="U64" s="1471"/>
      <c r="X64" s="1524"/>
      <c r="Y64" s="1524"/>
      <c r="Z64" s="1524"/>
    </row>
    <row r="65" spans="1:26" ht="13.5" thickBot="1">
      <c r="A65" s="1458" t="s">
        <v>1208</v>
      </c>
      <c r="B65" s="1536">
        <v>106</v>
      </c>
      <c r="C65" s="1536">
        <v>107</v>
      </c>
      <c r="D65" s="1536">
        <f t="shared" si="34"/>
        <v>107</v>
      </c>
      <c r="E65" s="1536">
        <v>105</v>
      </c>
      <c r="F65" s="1537">
        <v>102</v>
      </c>
      <c r="G65" s="3305">
        <v>2002</v>
      </c>
      <c r="H65" s="1480">
        <v>4</v>
      </c>
      <c r="I65" s="1532"/>
      <c r="J65" s="1532"/>
      <c r="K65" s="1532"/>
      <c r="L65" s="1532"/>
      <c r="N65" s="1533"/>
      <c r="O65" s="1532"/>
      <c r="P65" s="1532"/>
      <c r="Q65" s="1532"/>
      <c r="S65" s="1533"/>
      <c r="T65" s="1532"/>
      <c r="U65" s="1532"/>
      <c r="V65" s="1532"/>
      <c r="X65" s="1524"/>
      <c r="Y65" s="1524"/>
      <c r="Z65" s="1524"/>
    </row>
    <row r="66" spans="1:26">
      <c r="A66" s="1458" t="s">
        <v>1209</v>
      </c>
      <c r="B66" s="1534">
        <f t="shared" ref="B66:C68" si="72">B67+(B$65-B$69)/4</f>
        <v>105</v>
      </c>
      <c r="C66" s="1534">
        <f t="shared" si="72"/>
        <v>106</v>
      </c>
      <c r="D66" s="1534">
        <f t="shared" si="34"/>
        <v>106</v>
      </c>
      <c r="E66" s="1534">
        <f t="shared" ref="E66:F68" si="73">E67+(E$65-E$69)/4</f>
        <v>104.5</v>
      </c>
      <c r="F66" s="1534">
        <f t="shared" si="73"/>
        <v>101.5</v>
      </c>
      <c r="G66" s="3306">
        <v>2002</v>
      </c>
      <c r="H66" s="1485">
        <v>3</v>
      </c>
      <c r="I66" s="1532"/>
      <c r="J66" s="1532"/>
      <c r="K66" s="1532"/>
      <c r="L66" s="1532"/>
      <c r="X66" s="1524"/>
      <c r="Y66" s="1524"/>
      <c r="Z66" s="1524"/>
    </row>
    <row r="67" spans="1:26">
      <c r="A67" s="1458" t="s">
        <v>1210</v>
      </c>
      <c r="B67" s="1534">
        <f t="shared" si="72"/>
        <v>104</v>
      </c>
      <c r="C67" s="1534">
        <f t="shared" si="72"/>
        <v>105</v>
      </c>
      <c r="D67" s="1534">
        <f t="shared" si="34"/>
        <v>105</v>
      </c>
      <c r="E67" s="1534">
        <f t="shared" si="73"/>
        <v>104</v>
      </c>
      <c r="F67" s="1534">
        <f t="shared" si="73"/>
        <v>101</v>
      </c>
      <c r="G67" s="3306">
        <v>2002</v>
      </c>
      <c r="H67" s="1462">
        <v>2</v>
      </c>
      <c r="I67" s="1532"/>
      <c r="J67" s="1532"/>
      <c r="K67" s="1532"/>
      <c r="L67" s="1532"/>
      <c r="X67" s="1524"/>
      <c r="Y67" s="1524"/>
      <c r="Z67" s="1524"/>
    </row>
    <row r="68" spans="1:26" s="1496" customFormat="1" ht="13.5" thickBot="1">
      <c r="A68" s="1492" t="s">
        <v>1211</v>
      </c>
      <c r="B68" s="1538">
        <f t="shared" si="72"/>
        <v>103</v>
      </c>
      <c r="C68" s="1538">
        <f t="shared" si="72"/>
        <v>104</v>
      </c>
      <c r="D68" s="1538">
        <f t="shared" si="34"/>
        <v>104</v>
      </c>
      <c r="E68" s="1538">
        <f t="shared" si="73"/>
        <v>103.5</v>
      </c>
      <c r="F68" s="1538">
        <f t="shared" si="73"/>
        <v>100.5</v>
      </c>
      <c r="G68" s="3307">
        <v>2002</v>
      </c>
      <c r="H68" s="1539">
        <v>1</v>
      </c>
      <c r="I68" s="1540"/>
      <c r="J68" s="1540"/>
      <c r="K68" s="1540"/>
      <c r="L68" s="1540"/>
      <c r="N68" s="1541"/>
      <c r="S68" s="1541"/>
      <c r="X68" s="1542"/>
      <c r="Y68" s="1542"/>
      <c r="Z68" s="1542"/>
    </row>
    <row r="69" spans="1:26" ht="13.5" thickBot="1">
      <c r="B69" s="1543">
        <v>102</v>
      </c>
      <c r="C69" s="1544">
        <v>103</v>
      </c>
      <c r="D69" s="1544">
        <f t="shared" si="34"/>
        <v>103</v>
      </c>
      <c r="E69" s="1544">
        <v>103</v>
      </c>
      <c r="F69" s="1545">
        <v>100</v>
      </c>
      <c r="I69" s="1532"/>
      <c r="J69" s="1532"/>
      <c r="K69" s="1532"/>
      <c r="L69" s="1532"/>
      <c r="N69" s="1533"/>
      <c r="O69" s="1532"/>
      <c r="P69" s="1532"/>
      <c r="Q69" s="1532"/>
      <c r="S69" s="1533"/>
      <c r="T69" s="1532"/>
      <c r="U69" s="1532"/>
      <c r="V69" s="1532"/>
      <c r="X69" s="1474"/>
      <c r="Y69" s="1474"/>
      <c r="Z69" s="1474"/>
    </row>
    <row r="71" spans="1:26" s="1547" customFormat="1">
      <c r="A71" s="1546" t="s">
        <v>1212</v>
      </c>
      <c r="G71" s="1548"/>
      <c r="N71" s="1548"/>
      <c r="S71" s="1548"/>
    </row>
    <row r="72" spans="1:26" s="1547" customFormat="1">
      <c r="A72" s="1547" t="s">
        <v>1213</v>
      </c>
      <c r="G72" s="1548"/>
      <c r="N72" s="1548"/>
      <c r="S72" s="1548"/>
    </row>
    <row r="73" spans="1:26" s="1547" customFormat="1">
      <c r="A73" s="1547" t="s">
        <v>1214</v>
      </c>
      <c r="G73" s="1548"/>
      <c r="I73" s="1549"/>
      <c r="J73" s="1549"/>
      <c r="K73" s="1549"/>
      <c r="L73" s="1549"/>
      <c r="N73" s="1550"/>
      <c r="O73" s="1549"/>
      <c r="P73" s="1549"/>
      <c r="Q73" s="1549"/>
      <c r="S73" s="1550"/>
      <c r="T73" s="1549"/>
      <c r="U73" s="1549"/>
      <c r="V73" s="1549"/>
    </row>
    <row r="74" spans="1:26" s="1547" customFormat="1">
      <c r="A74" s="1547" t="s">
        <v>1215</v>
      </c>
      <c r="G74" s="1548"/>
      <c r="N74" s="1548"/>
      <c r="S74" s="1548"/>
    </row>
    <row r="81" spans="7:22" ht="13.5" thickBot="1"/>
    <row r="82" spans="7:22">
      <c r="G82" s="1469"/>
      <c r="S82" s="1551" t="s">
        <v>1216</v>
      </c>
      <c r="T82" s="1552" t="s">
        <v>1217</v>
      </c>
      <c r="U82" s="1552" t="s">
        <v>1218</v>
      </c>
      <c r="V82" s="1552" t="s">
        <v>1219</v>
      </c>
    </row>
    <row r="83" spans="7:22">
      <c r="G83" s="1469"/>
      <c r="N83" s="1473"/>
      <c r="O83" s="1474"/>
      <c r="P83" s="1474"/>
      <c r="Q83" s="1474"/>
      <c r="S83" s="1553">
        <v>2006</v>
      </c>
      <c r="T83" s="1554">
        <v>15.1</v>
      </c>
      <c r="U83" s="1554">
        <v>7.43</v>
      </c>
      <c r="V83" s="1554">
        <v>26.26</v>
      </c>
    </row>
    <row r="84" spans="7:22">
      <c r="G84" s="1469"/>
      <c r="N84" s="1473"/>
      <c r="O84" s="1474"/>
      <c r="P84" s="1474"/>
      <c r="Q84" s="1474"/>
      <c r="S84" s="1555">
        <v>2005</v>
      </c>
      <c r="T84" s="1556">
        <v>13.9</v>
      </c>
      <c r="U84" s="1556">
        <v>7.49</v>
      </c>
      <c r="V84" s="1556">
        <v>24.92</v>
      </c>
    </row>
    <row r="85" spans="7:22">
      <c r="G85" s="1469"/>
      <c r="N85" s="1473"/>
      <c r="O85" s="1474"/>
      <c r="P85" s="1474"/>
      <c r="Q85" s="1474"/>
      <c r="S85" s="1553">
        <v>2004</v>
      </c>
      <c r="T85" s="1554">
        <v>9.48</v>
      </c>
      <c r="U85" s="1554">
        <v>7.2</v>
      </c>
      <c r="V85" s="1554">
        <v>14.68</v>
      </c>
    </row>
    <row r="86" spans="7:22">
      <c r="G86" s="1469"/>
      <c r="N86" s="1473"/>
      <c r="O86" s="1474"/>
      <c r="P86" s="1474"/>
      <c r="Q86" s="1474"/>
      <c r="S86" s="1555">
        <v>2003</v>
      </c>
      <c r="T86" s="1556">
        <v>4.5</v>
      </c>
      <c r="U86" s="1556">
        <v>6.12</v>
      </c>
      <c r="V86" s="1556">
        <v>2.34</v>
      </c>
    </row>
    <row r="87" spans="7:22" ht="13.5" thickBot="1">
      <c r="G87" s="1469"/>
      <c r="N87" s="1473"/>
      <c r="O87" s="1474"/>
      <c r="P87" s="1474"/>
      <c r="Q87" s="1474"/>
      <c r="S87" s="1557">
        <v>2002</v>
      </c>
      <c r="T87" s="1558">
        <v>3.59</v>
      </c>
      <c r="U87" s="1558">
        <v>4.54</v>
      </c>
      <c r="V87" s="1558">
        <v>2.5499999999999998</v>
      </c>
    </row>
    <row r="88" spans="7:22">
      <c r="G88" s="1469"/>
      <c r="N88" s="1473"/>
      <c r="O88" s="1474"/>
      <c r="P88" s="1474"/>
      <c r="Q88" s="1474"/>
    </row>
    <row r="89" spans="7:22">
      <c r="G89" s="1469"/>
      <c r="N89" s="1473"/>
      <c r="O89" s="1474"/>
      <c r="P89" s="1474"/>
      <c r="Q89" s="1474"/>
    </row>
    <row r="90" spans="7:22">
      <c r="G90" s="1469"/>
      <c r="N90" s="1473"/>
      <c r="O90" s="1474"/>
      <c r="P90" s="1474"/>
      <c r="Q90" s="1474"/>
    </row>
    <row r="91" spans="7:22">
      <c r="G91" s="1469"/>
      <c r="N91" s="1473"/>
      <c r="O91" s="1474"/>
      <c r="P91" s="1474"/>
      <c r="Q91" s="1474"/>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c r="S98" s="1469"/>
    </row>
    <row r="99" spans="7:19">
      <c r="G99" s="1469"/>
      <c r="N99" s="1473"/>
      <c r="O99" s="1474"/>
      <c r="P99" s="1474"/>
      <c r="Q99" s="1474"/>
      <c r="S99" s="1469"/>
    </row>
    <row r="100" spans="7:19">
      <c r="G100" s="1469"/>
      <c r="N100" s="1473"/>
      <c r="O100" s="1474"/>
      <c r="P100" s="1474"/>
      <c r="Q100" s="1474"/>
      <c r="S100" s="1469"/>
    </row>
    <row r="101" spans="7:19">
      <c r="G101" s="1469"/>
      <c r="N101" s="1473"/>
      <c r="O101" s="1474"/>
      <c r="P101" s="1474"/>
      <c r="Q101" s="1474"/>
      <c r="S101" s="1469"/>
    </row>
    <row r="102" spans="7:19">
      <c r="G102" s="1469"/>
      <c r="N102" s="1473"/>
      <c r="O102" s="1474"/>
      <c r="P102" s="1474"/>
      <c r="Q102" s="1474"/>
      <c r="S102" s="1469"/>
    </row>
    <row r="103" spans="7:19">
      <c r="G103" s="1469"/>
      <c r="N103" s="1473"/>
      <c r="O103" s="1474"/>
      <c r="P103" s="1474"/>
      <c r="Q103" s="1474"/>
      <c r="S103" s="1469"/>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6"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6"/>
    <col min="20" max="45" width="9" style="792"/>
    <col min="46" max="16384" width="9" style="136"/>
  </cols>
  <sheetData>
    <row r="1" spans="1:45" ht="14.25" customHeight="1" thickBot="1">
      <c r="A1" s="153"/>
      <c r="B1" s="1202" t="s">
        <v>3010</v>
      </c>
      <c r="C1" s="3314" t="s">
        <v>3011</v>
      </c>
      <c r="D1" s="3315"/>
      <c r="E1" s="3315"/>
      <c r="F1" s="3315"/>
      <c r="G1" s="3315"/>
      <c r="H1" s="3315"/>
      <c r="I1" s="3315"/>
      <c r="J1" s="3315"/>
      <c r="K1" s="3315"/>
      <c r="L1" s="3315"/>
      <c r="M1" s="3315"/>
      <c r="N1" s="3315"/>
      <c r="O1" s="3315"/>
      <c r="P1" s="3315"/>
      <c r="Q1" s="3315"/>
      <c r="R1" s="3315"/>
      <c r="S1" s="3316"/>
      <c r="T1" s="1202" t="s">
        <v>3012</v>
      </c>
    </row>
    <row r="2" spans="1:45" s="705" customFormat="1">
      <c r="A2" s="1203"/>
      <c r="B2" s="701" t="s">
        <v>3013</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4" t="str">
        <f>S3&amp;"(含)"&amp;"-"</f>
        <v>(含)-</v>
      </c>
      <c r="T2" s="704"/>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c r="A3" s="1205"/>
      <c r="B3" s="706"/>
      <c r="C3" s="707"/>
      <c r="D3" s="708"/>
      <c r="E3" s="708"/>
      <c r="F3" s="1701"/>
      <c r="G3" s="1701"/>
      <c r="H3" s="1701"/>
      <c r="I3" s="1701"/>
      <c r="J3" s="1701"/>
      <c r="K3" s="1701"/>
      <c r="L3" s="1702"/>
      <c r="M3" s="1703"/>
      <c r="N3" s="1703"/>
      <c r="O3" s="1701"/>
      <c r="P3" s="1701"/>
      <c r="Q3" s="1701"/>
      <c r="R3" s="1701"/>
      <c r="S3" s="1704"/>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3.5" thickBot="1">
      <c r="A4" s="1206"/>
      <c r="B4" s="1207"/>
      <c r="C4" s="1208"/>
      <c r="D4" s="1209"/>
      <c r="E4" s="1209"/>
      <c r="F4" s="1705"/>
      <c r="G4" s="1705"/>
      <c r="H4" s="1705"/>
      <c r="I4" s="1705"/>
      <c r="J4" s="1705"/>
      <c r="K4" s="1705"/>
      <c r="L4" s="1705"/>
      <c r="M4" s="1706"/>
      <c r="N4" s="1706"/>
      <c r="O4" s="1705"/>
      <c r="P4" s="1705"/>
      <c r="Q4" s="1705"/>
      <c r="R4" s="1705"/>
      <c r="S4" s="1707"/>
      <c r="T4" s="1212"/>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6" customFormat="1">
      <c r="A5" s="1213"/>
      <c r="B5" s="1766" t="s">
        <v>3014</v>
      </c>
      <c r="C5" s="1214"/>
      <c r="D5" s="1215"/>
      <c r="E5" s="1215"/>
      <c r="F5" s="1708"/>
      <c r="G5" s="1708"/>
      <c r="H5" s="1708"/>
      <c r="I5" s="1708"/>
      <c r="J5" s="1708"/>
      <c r="K5" s="1708"/>
      <c r="L5" s="1709"/>
      <c r="M5" s="1710"/>
      <c r="N5" s="1710"/>
      <c r="O5" s="1708"/>
      <c r="P5" s="1708"/>
      <c r="Q5" s="1708"/>
      <c r="R5" s="1708"/>
      <c r="S5" s="1711"/>
      <c r="T5" s="1217"/>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6" customFormat="1" ht="13.5" thickBot="1">
      <c r="A6" s="1213"/>
      <c r="B6" s="1114"/>
      <c r="C6" s="1120">
        <v>100</v>
      </c>
      <c r="D6" s="1117">
        <f>C6-$T5</f>
        <v>100</v>
      </c>
      <c r="E6" s="1117">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6"/>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6" customFormat="1">
      <c r="A7" s="1213"/>
      <c r="B7" s="1767" t="s">
        <v>3015</v>
      </c>
      <c r="C7" s="1119"/>
      <c r="D7" s="1113"/>
      <c r="E7" s="1113"/>
      <c r="F7" s="1713"/>
      <c r="G7" s="1713"/>
      <c r="H7" s="1713"/>
      <c r="I7" s="1713"/>
      <c r="J7" s="1713"/>
      <c r="K7" s="1713"/>
      <c r="L7" s="1713"/>
      <c r="M7" s="1714"/>
      <c r="N7" s="1715"/>
      <c r="O7" s="1716"/>
      <c r="P7" s="1717"/>
      <c r="Q7" s="1718"/>
      <c r="R7" s="1719"/>
      <c r="S7" s="1720"/>
      <c r="T7" s="711"/>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6" customFormat="1" ht="13.5" thickBot="1">
      <c r="A8" s="1213"/>
      <c r="B8" s="1114"/>
      <c r="C8" s="1120">
        <v>100</v>
      </c>
      <c r="D8" s="1117">
        <f>C8-$T7</f>
        <v>100</v>
      </c>
      <c r="E8" s="1117">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6"/>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6" customFormat="1">
      <c r="A9" s="1213"/>
      <c r="B9" s="1767" t="s">
        <v>3016</v>
      </c>
      <c r="C9" s="1119"/>
      <c r="D9" s="1113"/>
      <c r="E9" s="1113"/>
      <c r="F9" s="1713"/>
      <c r="G9" s="1713"/>
      <c r="H9" s="1713"/>
      <c r="I9" s="1713"/>
      <c r="J9" s="1713"/>
      <c r="K9" s="1713"/>
      <c r="L9" s="1721"/>
      <c r="M9" s="1714"/>
      <c r="N9" s="1715"/>
      <c r="O9" s="1716"/>
      <c r="P9" s="1717"/>
      <c r="Q9" s="1718"/>
      <c r="R9" s="1719"/>
      <c r="S9" s="1720"/>
      <c r="T9" s="711"/>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6" customFormat="1" ht="13.5" thickBot="1">
      <c r="A10" s="1213"/>
      <c r="B10" s="1207"/>
      <c r="C10" s="1218">
        <v>100</v>
      </c>
      <c r="D10" s="1219">
        <f>C10-$T9</f>
        <v>100</v>
      </c>
      <c r="E10" s="1219">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2"/>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6" customFormat="1">
      <c r="A11" s="1213"/>
      <c r="B11" s="1766" t="s">
        <v>3017</v>
      </c>
      <c r="C11" s="1214"/>
      <c r="D11" s="1215"/>
      <c r="E11" s="1215"/>
      <c r="F11" s="1215"/>
      <c r="G11" s="1215"/>
      <c r="H11" s="1215"/>
      <c r="I11" s="1215"/>
      <c r="J11" s="1215"/>
      <c r="K11" s="1215"/>
      <c r="L11" s="1215"/>
      <c r="M11" s="1216"/>
      <c r="N11" s="1220"/>
      <c r="O11" s="1221"/>
      <c r="P11" s="1222"/>
      <c r="Q11" s="1223"/>
      <c r="R11" s="1224"/>
      <c r="S11" s="1225"/>
      <c r="T11" s="1217"/>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6"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6" customFormat="1">
      <c r="A13" s="1213"/>
      <c r="B13" s="1766" t="s">
        <v>3018</v>
      </c>
      <c r="C13" s="1214"/>
      <c r="D13" s="1215"/>
      <c r="E13" s="1215"/>
      <c r="F13" s="1215"/>
      <c r="G13" s="1215"/>
      <c r="H13" s="1215"/>
      <c r="I13" s="1215"/>
      <c r="J13" s="1215"/>
      <c r="K13" s="1215"/>
      <c r="L13" s="1215"/>
      <c r="M13" s="1216"/>
      <c r="N13" s="1220"/>
      <c r="O13" s="1221"/>
      <c r="P13" s="1222"/>
      <c r="Q13" s="1223"/>
      <c r="R13" s="1224"/>
      <c r="S13" s="1225"/>
      <c r="T13" s="1226"/>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6"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6" customFormat="1">
      <c r="A15" s="1213"/>
      <c r="B15" s="1766" t="s">
        <v>3019</v>
      </c>
      <c r="C15" s="1214"/>
      <c r="D15" s="1215"/>
      <c r="E15" s="1215"/>
      <c r="F15" s="1215"/>
      <c r="G15" s="1215"/>
      <c r="H15" s="1215"/>
      <c r="I15" s="1215"/>
      <c r="J15" s="1215"/>
      <c r="K15" s="1215"/>
      <c r="L15" s="1215"/>
      <c r="M15" s="1216"/>
      <c r="N15" s="1220"/>
      <c r="O15" s="1221"/>
      <c r="P15" s="1222"/>
      <c r="Q15" s="1223"/>
      <c r="R15" s="1224"/>
      <c r="S15" s="1225"/>
      <c r="T15" s="1226"/>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6"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5" customFormat="1">
      <c r="A17" s="2908" t="s">
        <v>3020</v>
      </c>
      <c r="B17" s="2909" t="s">
        <v>3021</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3"/>
      <c r="AS17" s="793"/>
    </row>
    <row r="18" spans="1:45" s="705"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3"/>
      <c r="AS18" s="793"/>
    </row>
    <row r="19" spans="1:45">
      <c r="A19" s="135"/>
      <c r="B19" s="166"/>
      <c r="C19" s="166"/>
      <c r="D19" s="2910" t="s">
        <v>3022</v>
      </c>
      <c r="E19" s="1789"/>
      <c r="F19" s="1789"/>
      <c r="G19" s="1789"/>
      <c r="H19" s="1278"/>
      <c r="I19" s="166"/>
      <c r="J19" s="166"/>
      <c r="K19" s="166"/>
      <c r="L19" s="166"/>
      <c r="M19" s="166"/>
      <c r="N19" s="166"/>
      <c r="O19" s="166"/>
      <c r="P19" s="166"/>
      <c r="Q19" s="166"/>
      <c r="R19" s="785"/>
      <c r="S19" s="135"/>
    </row>
    <row r="20" spans="1:45" ht="16.5" thickBot="1">
      <c r="A20" s="713" t="s">
        <v>3023</v>
      </c>
      <c r="B20" s="336" t="e">
        <f ca="1">IF(D20="——",S22,S22-F20)</f>
        <v>#REF!</v>
      </c>
      <c r="C20" s="166"/>
      <c r="D20" s="2911" t="s">
        <v>3024</v>
      </c>
      <c r="E20" s="1790"/>
      <c r="F20" s="1202" t="e">
        <f ca="1">SUMIF(INDIRECT("'"&amp;H20&amp;"'"&amp;"!A:A"),"承租人权益价值",INDIRECT("'"&amp;H20&amp;"'"&amp;"!c:c"))</f>
        <v>#REF!</v>
      </c>
      <c r="G20" s="1202" t="s">
        <v>3025</v>
      </c>
      <c r="H20" s="2912"/>
      <c r="I20" s="166"/>
      <c r="J20" s="166"/>
      <c r="K20" s="166"/>
      <c r="L20" s="166"/>
      <c r="M20" s="166"/>
      <c r="N20" s="166"/>
      <c r="O20" s="166"/>
      <c r="P20" s="166"/>
      <c r="Q20" s="166"/>
      <c r="R20" s="785"/>
      <c r="S20" s="135"/>
    </row>
    <row r="21" spans="1:45" ht="15.75">
      <c r="A21" s="713" t="s">
        <v>3026</v>
      </c>
      <c r="B21" s="336">
        <f>R22</f>
        <v>10000</v>
      </c>
      <c r="C21" s="166"/>
      <c r="D21" s="166"/>
      <c r="E21" s="166"/>
      <c r="F21" s="166"/>
      <c r="G21" s="166"/>
      <c r="H21" s="166"/>
      <c r="I21" s="166"/>
      <c r="J21" s="166"/>
      <c r="K21" s="166"/>
      <c r="L21" s="166"/>
      <c r="M21" s="166"/>
      <c r="N21" s="166"/>
      <c r="O21" s="166"/>
      <c r="P21" s="166"/>
      <c r="Q21" s="166"/>
      <c r="R21" s="785"/>
      <c r="S21" s="135"/>
    </row>
    <row r="22" spans="1:45">
      <c r="A22" s="359" t="s">
        <v>3027</v>
      </c>
      <c r="B22" s="24">
        <f>SUM(B24:B10000)</f>
        <v>100</v>
      </c>
      <c r="C22" s="3093" t="s">
        <v>33</v>
      </c>
      <c r="D22" s="3094"/>
      <c r="E22" s="3094"/>
      <c r="F22" s="3094"/>
      <c r="G22" s="3094"/>
      <c r="H22" s="3094"/>
      <c r="I22" s="3094"/>
      <c r="J22" s="3094"/>
      <c r="K22" s="3094"/>
      <c r="L22" s="3094"/>
      <c r="M22" s="3094"/>
      <c r="N22" s="3094"/>
      <c r="O22" s="3094"/>
      <c r="P22" s="3094"/>
      <c r="Q22" s="3313"/>
      <c r="R22" s="714">
        <f>ROUND(S22*10000/B22,0)</f>
        <v>10000</v>
      </c>
      <c r="S22" s="24">
        <f>SUM(S24:S10000)</f>
        <v>100</v>
      </c>
    </row>
    <row r="23" spans="1:45" s="12" customFormat="1" ht="24">
      <c r="A23" s="11" t="s">
        <v>3028</v>
      </c>
      <c r="B23" s="11" t="s">
        <v>3029</v>
      </c>
      <c r="C23" s="11" t="s">
        <v>3030</v>
      </c>
      <c r="D23" s="11" t="str">
        <f>B5</f>
        <v>修正项2</v>
      </c>
      <c r="E23" s="11" t="s">
        <v>3030</v>
      </c>
      <c r="F23" s="11" t="str">
        <f>B7</f>
        <v>修正项3</v>
      </c>
      <c r="G23" s="11" t="s">
        <v>3030</v>
      </c>
      <c r="H23" s="11" t="str">
        <f>B9</f>
        <v>修正项4</v>
      </c>
      <c r="I23" s="11" t="s">
        <v>3030</v>
      </c>
      <c r="J23" s="11" t="str">
        <f>B11</f>
        <v>修正项5</v>
      </c>
      <c r="K23" s="11" t="s">
        <v>3030</v>
      </c>
      <c r="L23" s="11" t="str">
        <f>B13</f>
        <v>修正项6</v>
      </c>
      <c r="M23" s="11" t="s">
        <v>3030</v>
      </c>
      <c r="N23" s="11" t="str">
        <f>B15</f>
        <v>修正项7</v>
      </c>
      <c r="O23" s="11" t="s">
        <v>3030</v>
      </c>
      <c r="P23" s="11" t="str">
        <f>B17</f>
        <v>楼层</v>
      </c>
      <c r="Q23" s="11" t="s">
        <v>3030</v>
      </c>
      <c r="R23" s="715" t="s">
        <v>3031</v>
      </c>
      <c r="S23" s="11" t="s">
        <v>3032</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20" customFormat="1">
      <c r="A24" s="716" t="s">
        <v>3033</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7"/>
      <c r="B25" s="58"/>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8"/>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8"/>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8"/>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8"/>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8"/>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8"/>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8"/>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8"/>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8"/>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8"/>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8"/>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8"/>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8"/>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8"/>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8"/>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8"/>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8"/>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8"/>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8"/>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8"/>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8"/>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8"/>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8"/>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8"/>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8"/>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8"/>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8"/>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8"/>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8"/>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8"/>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8"/>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8"/>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8"/>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8"/>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8"/>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8"/>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8"/>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8"/>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8"/>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8"/>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8"/>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8"/>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8"/>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8"/>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8"/>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8"/>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8"/>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8"/>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8"/>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8"/>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8"/>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8"/>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8"/>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8"/>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8"/>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8"/>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8"/>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8"/>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8"/>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8"/>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8"/>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8"/>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8"/>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8"/>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8"/>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8"/>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8"/>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8"/>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8"/>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8"/>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8"/>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8"/>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8"/>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8"/>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8"/>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8"/>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8"/>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8"/>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8"/>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8"/>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8"/>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8"/>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8"/>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8"/>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8"/>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8"/>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8"/>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8"/>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8"/>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8"/>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8"/>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8"/>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8"/>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8"/>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8"/>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8"/>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8"/>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8"/>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8"/>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8"/>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8"/>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8"/>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8"/>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8"/>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8"/>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8"/>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8"/>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8"/>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8"/>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8"/>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8"/>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8"/>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8"/>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8"/>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8"/>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8"/>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8"/>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8"/>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8"/>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8"/>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8"/>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8"/>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8"/>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8"/>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8"/>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8"/>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8"/>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8"/>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8"/>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8"/>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8"/>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8"/>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8"/>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8"/>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8"/>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8"/>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8"/>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8"/>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8"/>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8"/>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8"/>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8"/>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8"/>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8"/>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8"/>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8"/>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8"/>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8"/>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8"/>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8"/>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8"/>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8"/>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8"/>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8"/>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8"/>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8"/>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8"/>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8"/>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8"/>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8"/>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8"/>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8"/>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8"/>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8"/>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8"/>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8"/>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8"/>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8"/>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8"/>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8"/>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8"/>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8"/>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8"/>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8"/>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8"/>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8"/>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8"/>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8"/>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8"/>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8"/>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8"/>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8"/>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8"/>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8"/>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8"/>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8"/>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8"/>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8"/>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8"/>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8"/>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8"/>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8"/>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8"/>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8"/>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8"/>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8"/>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8"/>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8"/>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8"/>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8"/>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8"/>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8"/>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8"/>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8"/>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8"/>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8"/>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8"/>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8"/>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8"/>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8"/>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8"/>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8"/>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8"/>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8"/>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8"/>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8"/>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8"/>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8"/>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8"/>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8"/>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8"/>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8"/>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8"/>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8"/>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8"/>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8"/>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8"/>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8"/>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8"/>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8"/>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8"/>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8"/>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8"/>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8"/>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8"/>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8"/>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8"/>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8"/>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8"/>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8"/>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8"/>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8"/>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8"/>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8"/>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8"/>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8"/>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8"/>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8"/>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8"/>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8"/>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8"/>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8"/>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8"/>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8"/>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8"/>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8"/>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8"/>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8"/>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8"/>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8"/>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8"/>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8"/>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8"/>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8"/>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8"/>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8"/>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8"/>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8"/>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8"/>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8"/>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8"/>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8"/>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8"/>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8"/>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8"/>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8"/>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8"/>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8"/>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8"/>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8"/>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8"/>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8"/>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8"/>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8"/>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8"/>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8"/>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8"/>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8"/>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8"/>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8"/>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8"/>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8"/>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8"/>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8"/>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8"/>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8"/>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8"/>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8"/>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8"/>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8"/>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8"/>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8"/>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8"/>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8"/>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8"/>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8"/>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8"/>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8"/>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8"/>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8"/>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8"/>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8"/>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8"/>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8"/>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8"/>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8"/>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8"/>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8"/>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8"/>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8"/>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8"/>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8"/>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8"/>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8"/>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8"/>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8"/>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8"/>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8"/>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8"/>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8"/>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8"/>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8"/>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8"/>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8"/>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8"/>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8"/>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8"/>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8"/>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8"/>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8"/>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8"/>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8"/>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8"/>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8"/>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8"/>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8"/>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8"/>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8"/>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8"/>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8"/>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8"/>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8"/>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8"/>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8"/>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8"/>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8"/>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8"/>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8"/>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8"/>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8"/>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8"/>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8"/>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8"/>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8"/>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8"/>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8"/>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8"/>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8"/>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8"/>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8"/>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8"/>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8"/>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8"/>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8"/>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8"/>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8"/>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8"/>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8"/>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8"/>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8"/>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8"/>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8"/>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8"/>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8"/>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8"/>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8"/>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8"/>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8"/>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8"/>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8"/>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8"/>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8"/>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8"/>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8"/>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8"/>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8"/>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8"/>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8"/>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8"/>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8"/>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8"/>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8"/>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8"/>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8"/>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8"/>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8"/>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8"/>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8"/>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8"/>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8"/>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8"/>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8"/>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8"/>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8"/>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8"/>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8"/>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8"/>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8"/>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8"/>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8"/>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8"/>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8"/>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8"/>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8"/>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8"/>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8"/>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8"/>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8"/>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8"/>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8"/>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8"/>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8"/>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8"/>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8"/>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8"/>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8"/>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8"/>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8"/>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8"/>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8"/>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8"/>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8"/>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8"/>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8"/>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8"/>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8"/>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8"/>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8"/>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8"/>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8"/>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8"/>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8"/>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8"/>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8"/>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8"/>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8"/>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8"/>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8"/>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8"/>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8"/>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8"/>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8"/>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8"/>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8"/>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8"/>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8"/>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8"/>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8"/>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8"/>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8"/>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8"/>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8"/>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8"/>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8"/>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8"/>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8"/>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8"/>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8"/>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8"/>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8"/>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8"/>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8"/>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8"/>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8"/>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8"/>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8"/>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8"/>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8"/>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8"/>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8"/>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8"/>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8"/>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8"/>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8"/>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8"/>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8"/>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8"/>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8"/>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8"/>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30990</v>
      </c>
      <c r="C2" s="2" t="s">
        <v>133</v>
      </c>
      <c r="D2" s="241"/>
      <c r="E2" s="241"/>
      <c r="F2" s="241"/>
      <c r="G2" s="241"/>
    </row>
    <row r="3" spans="1:7" s="242" customFormat="1" ht="18" customHeight="1" thickBot="1">
      <c r="A3" s="245" t="s">
        <v>85</v>
      </c>
      <c r="B3" s="246">
        <f ca="1">ROUND(B2*10000/'数据-汇总表'!E3,0)</f>
        <v>4603</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20810</v>
      </c>
      <c r="D5" s="253" t="s">
        <v>88</v>
      </c>
      <c r="E5" s="254" t="s">
        <v>89</v>
      </c>
      <c r="F5" s="254" t="s">
        <v>90</v>
      </c>
      <c r="G5" s="255"/>
    </row>
    <row r="6" spans="1:7" s="256" customFormat="1" ht="13.5" customHeight="1">
      <c r="A6" s="947" t="s">
        <v>791</v>
      </c>
      <c r="B6" s="257" t="s">
        <v>91</v>
      </c>
      <c r="C6" s="258">
        <v>20000</v>
      </c>
      <c r="D6" s="259"/>
      <c r="E6" s="260"/>
      <c r="F6" s="260"/>
      <c r="G6" s="261"/>
    </row>
    <row r="7" spans="1:7" s="256" customFormat="1" ht="13.5" customHeight="1">
      <c r="A7" s="947" t="s">
        <v>792</v>
      </c>
      <c r="B7" s="257" t="s">
        <v>57</v>
      </c>
      <c r="C7" s="262">
        <f>ROUND(C6*F7,0)</f>
        <v>810</v>
      </c>
      <c r="D7" s="262"/>
      <c r="E7" s="260"/>
      <c r="F7" s="263">
        <f>'数据-取费表'!B48+'数据-取费表'!B49</f>
        <v>4.0500000000000001E-2</v>
      </c>
      <c r="G7" s="261"/>
    </row>
    <row r="8" spans="1:7" s="265" customFormat="1">
      <c r="A8" s="947" t="s">
        <v>793</v>
      </c>
      <c r="B8" s="257" t="s">
        <v>92</v>
      </c>
      <c r="C8" s="262" t="str">
        <f>IF(G8="已包含在土地购买价格中","0",'数据-取费表'!B29)</f>
        <v>0</v>
      </c>
      <c r="D8" s="264"/>
      <c r="E8" s="262"/>
      <c r="F8" s="263"/>
      <c r="G8" s="1" t="s">
        <v>1148</v>
      </c>
    </row>
    <row r="9" spans="1:7" s="256" customFormat="1" ht="13.5" customHeight="1">
      <c r="A9" s="948" t="s">
        <v>800</v>
      </c>
      <c r="B9" s="266" t="s">
        <v>93</v>
      </c>
      <c r="C9" s="267">
        <f>ROUND(D9*E9/10000,0)</f>
        <v>1135</v>
      </c>
      <c r="D9" s="1030">
        <f>'数据-汇总表'!E5</f>
        <v>46157.97</v>
      </c>
      <c r="E9" s="267">
        <f>'数据-取费表'!B27</f>
        <v>246</v>
      </c>
      <c r="F9" s="263"/>
      <c r="G9" s="268"/>
    </row>
    <row r="10" spans="1:7" s="256" customFormat="1" ht="13.5" customHeight="1">
      <c r="A10" s="948" t="s">
        <v>801</v>
      </c>
      <c r="B10" s="266" t="s">
        <v>94</v>
      </c>
      <c r="C10" s="267">
        <f>ROUND(D10*E10/10000,0)</f>
        <v>521</v>
      </c>
      <c r="D10" s="1030">
        <f>'数据-汇总表'!E6</f>
        <v>21172.200000000012</v>
      </c>
      <c r="E10" s="267">
        <f>'数据-取费表'!B28</f>
        <v>246</v>
      </c>
      <c r="F10" s="263"/>
      <c r="G10" s="268"/>
    </row>
    <row r="11" spans="1:7" s="256" customFormat="1" ht="13.5" hidden="1" customHeight="1">
      <c r="A11" s="269" t="s">
        <v>7</v>
      </c>
      <c r="B11" s="257" t="s">
        <v>95</v>
      </c>
      <c r="C11" s="253"/>
      <c r="D11" s="1032"/>
      <c r="E11" s="260"/>
      <c r="F11" s="260"/>
      <c r="G11" s="261"/>
    </row>
    <row r="12" spans="1:7" s="256" customFormat="1" ht="13.5" hidden="1" customHeight="1">
      <c r="A12" s="269" t="s">
        <v>8</v>
      </c>
      <c r="B12" s="257" t="s">
        <v>96</v>
      </c>
      <c r="C12" s="253">
        <v>0</v>
      </c>
      <c r="D12" s="1032"/>
      <c r="E12" s="270"/>
      <c r="F12" s="263">
        <v>3.0499999999999999E-2</v>
      </c>
      <c r="G12" s="261"/>
    </row>
    <row r="13" spans="1:7" s="256" customFormat="1" ht="13.5" hidden="1" customHeight="1">
      <c r="A13" s="269" t="s">
        <v>9</v>
      </c>
      <c r="B13" s="257" t="s">
        <v>97</v>
      </c>
      <c r="C13" s="253"/>
      <c r="D13" s="1032"/>
      <c r="E13" s="260"/>
      <c r="F13" s="260"/>
      <c r="G13" s="261"/>
    </row>
    <row r="14" spans="1:7" s="256" customFormat="1" ht="13.5" hidden="1" customHeight="1">
      <c r="A14" s="269" t="s">
        <v>10</v>
      </c>
      <c r="B14" s="257" t="s">
        <v>92</v>
      </c>
      <c r="C14" s="253"/>
      <c r="D14" s="1032"/>
      <c r="E14" s="260"/>
      <c r="F14" s="260"/>
      <c r="G14" s="261" t="s">
        <v>98</v>
      </c>
    </row>
    <row r="15" spans="1:7" s="256" customFormat="1" ht="13.5" hidden="1" customHeight="1">
      <c r="A15" s="269" t="s">
        <v>11</v>
      </c>
      <c r="B15" s="257" t="s">
        <v>99</v>
      </c>
      <c r="C15" s="262"/>
      <c r="D15" s="1032"/>
      <c r="E15" s="260"/>
      <c r="F15" s="260"/>
      <c r="G15" s="261" t="s">
        <v>100</v>
      </c>
    </row>
    <row r="16" spans="1:7" s="256" customFormat="1" ht="13.5" hidden="1" customHeight="1">
      <c r="A16" s="269" t="s">
        <v>12</v>
      </c>
      <c r="B16" s="257" t="s">
        <v>92</v>
      </c>
      <c r="C16" s="262"/>
      <c r="D16" s="1032"/>
      <c r="E16" s="260"/>
      <c r="F16" s="260"/>
      <c r="G16" s="261"/>
    </row>
    <row r="17" spans="1:7" s="256" customFormat="1" ht="13.5" hidden="1" customHeight="1">
      <c r="A17" s="269" t="s">
        <v>13</v>
      </c>
      <c r="B17" s="257" t="s">
        <v>101</v>
      </c>
      <c r="C17" s="271"/>
      <c r="D17" s="1033"/>
      <c r="E17" s="271"/>
      <c r="F17" s="271"/>
      <c r="G17" s="261" t="s">
        <v>100</v>
      </c>
    </row>
    <row r="18" spans="1:7" s="256" customFormat="1" ht="13.5" hidden="1" customHeight="1">
      <c r="A18" s="269" t="s">
        <v>14</v>
      </c>
      <c r="B18" s="257" t="s">
        <v>102</v>
      </c>
      <c r="C18" s="262">
        <v>0</v>
      </c>
      <c r="D18" s="1032"/>
      <c r="E18" s="260"/>
      <c r="F18" s="263">
        <v>3.0499999999999999E-2</v>
      </c>
      <c r="G18" s="261" t="s">
        <v>103</v>
      </c>
    </row>
    <row r="19" spans="1:7" s="265" customFormat="1" ht="13.5" customHeight="1">
      <c r="A19" s="946" t="s">
        <v>1055</v>
      </c>
      <c r="B19" s="252" t="s">
        <v>111</v>
      </c>
      <c r="C19" s="253">
        <f>IF(G19="已包含在土地取得成本中","0",ROUND(D19*E19/10000,0))</f>
        <v>673</v>
      </c>
      <c r="D19" s="1034">
        <f>'数据-汇总表'!E3</f>
        <v>67330.170000000013</v>
      </c>
      <c r="E19" s="253">
        <f>'数据-取费表'!B31</f>
        <v>100</v>
      </c>
      <c r="F19" s="273"/>
      <c r="G19" s="1" t="s">
        <v>1074</v>
      </c>
    </row>
    <row r="20" spans="1:7" s="256" customFormat="1" ht="13.5" customHeight="1">
      <c r="A20" s="946" t="s">
        <v>1057</v>
      </c>
      <c r="B20" s="252" t="s">
        <v>104</v>
      </c>
      <c r="C20" s="274">
        <f>ROUND((C5+C19)*F20,0)</f>
        <v>322</v>
      </c>
      <c r="D20" s="274"/>
      <c r="E20" s="274"/>
      <c r="F20" s="275">
        <f>'数据-取费表'!B37</f>
        <v>1.4999999999999999E-2</v>
      </c>
      <c r="G20" s="1287" t="s">
        <v>1068</v>
      </c>
    </row>
    <row r="21" spans="1:7" s="256" customFormat="1" ht="13.5" customHeight="1">
      <c r="A21" s="946" t="s">
        <v>1059</v>
      </c>
      <c r="B21" s="252" t="s">
        <v>105</v>
      </c>
      <c r="C21" s="277">
        <f>F21</f>
        <v>2.5000000000000001E-2</v>
      </c>
      <c r="D21" s="278" t="s">
        <v>126</v>
      </c>
      <c r="E21" s="274"/>
      <c r="F21" s="275">
        <f>'数据-取费表'!B38</f>
        <v>2.5000000000000001E-2</v>
      </c>
      <c r="G21" s="276" t="s">
        <v>106</v>
      </c>
    </row>
    <row r="22" spans="1:7" s="256" customFormat="1" ht="13.5" customHeight="1">
      <c r="A22" s="946" t="s">
        <v>786</v>
      </c>
      <c r="B22" s="252" t="s">
        <v>107</v>
      </c>
      <c r="C22" s="1352">
        <f ca="1">ROUND(SUM(C23:C25),0)</f>
        <v>1240</v>
      </c>
      <c r="D22" s="277">
        <f ca="1">C26</f>
        <v>6.9999999999999999E-4</v>
      </c>
      <c r="E22" s="278" t="s">
        <v>126</v>
      </c>
      <c r="F22" s="279">
        <f ca="1">'数据-取费表'!B40</f>
        <v>4.7500000000000001E-2</v>
      </c>
      <c r="G22" s="1287" t="str">
        <f>IF('数据-取费表'!B22&lt;=1,"单利计息","复利计息")</f>
        <v>复利计息</v>
      </c>
    </row>
    <row r="23" spans="1:7" s="256" customFormat="1" ht="13.5" customHeight="1">
      <c r="A23" s="949" t="s">
        <v>794</v>
      </c>
      <c r="B23" s="257" t="s">
        <v>1061</v>
      </c>
      <c r="C23" s="1353">
        <f ca="1">ROUND(IF('数据-取费表'!B22&lt;=1,C5*F22*'数据-取费表'!B23,C5*(POWER((1+F22),'数据-取费表'!B23)-1)),0)</f>
        <v>1192</v>
      </c>
      <c r="D23" s="280"/>
      <c r="E23" s="280"/>
      <c r="F23" s="281"/>
      <c r="G23" s="282" t="s">
        <v>108</v>
      </c>
    </row>
    <row r="24" spans="1:7" s="256" customFormat="1" ht="13.5" customHeight="1">
      <c r="A24" s="949" t="s">
        <v>792</v>
      </c>
      <c r="B24" s="257" t="s">
        <v>1056</v>
      </c>
      <c r="C24" s="1353">
        <f ca="1">ROUND(IF('数据-取费表'!B22&lt;=1,C19*F22*('数据-取费表'!B19/2+'数据-取费表'!B21),C19*(POWER((1+F22),('数据-取费表'!B19/2+'数据-取费表'!B21))-1)),0)</f>
        <v>39</v>
      </c>
      <c r="D24" s="280"/>
      <c r="E24" s="280"/>
      <c r="F24" s="281"/>
      <c r="G24" s="282" t="s">
        <v>109</v>
      </c>
    </row>
    <row r="25" spans="1:7" s="256" customFormat="1" ht="24">
      <c r="A25" s="949" t="s">
        <v>793</v>
      </c>
      <c r="B25" s="257" t="s">
        <v>1058</v>
      </c>
      <c r="C25" s="1353">
        <f ca="1">ROUND(IF('数据-取费表'!B22&lt;=1,C20*F22*'数据-取费表'!B23/2,C20*(POWER((1+F22),'数据-取费表'!B23/2)-1)),0)</f>
        <v>9</v>
      </c>
      <c r="D25" s="280"/>
      <c r="E25" s="283"/>
      <c r="F25" s="281"/>
      <c r="G25" s="284" t="s">
        <v>110</v>
      </c>
    </row>
    <row r="26" spans="1:7" s="256" customFormat="1">
      <c r="A26" s="949" t="s">
        <v>795</v>
      </c>
      <c r="B26" s="257" t="s">
        <v>1060</v>
      </c>
      <c r="C26" s="280">
        <f ca="1">ROUND(IF('数据-取费表'!B22&lt;=1,F21*F22*'数据-取费表'!B23/2,F21*(POWER((1+F22),'数据-取费表'!B23/2)-1)),4)</f>
        <v>6.9999999999999999E-4</v>
      </c>
      <c r="D26" s="280"/>
      <c r="E26" s="283"/>
      <c r="F26" s="281"/>
      <c r="G26" s="285"/>
    </row>
    <row r="27" spans="1:7" s="256" customFormat="1" ht="24.75">
      <c r="A27" s="946" t="s">
        <v>787</v>
      </c>
      <c r="B27" s="286" t="s">
        <v>112</v>
      </c>
      <c r="C27" s="287">
        <f>C28</f>
        <v>1779</v>
      </c>
      <c r="D27" s="277">
        <f>C29</f>
        <v>2E-3</v>
      </c>
      <c r="E27" s="278" t="s">
        <v>126</v>
      </c>
      <c r="F27" s="288">
        <f>'数据-取费表'!Q16</f>
        <v>0.17</v>
      </c>
      <c r="G27" s="289" t="s">
        <v>1069</v>
      </c>
    </row>
    <row r="28" spans="1:7" s="256" customFormat="1" ht="13.5" customHeight="1">
      <c r="A28" s="949" t="s">
        <v>794</v>
      </c>
      <c r="B28" s="290" t="s">
        <v>1062</v>
      </c>
      <c r="C28" s="291">
        <f>ROUND((C5+C19+C20)*F27*'数据-取费表'!B21/'数据-取费表'!B20,0)</f>
        <v>1779</v>
      </c>
      <c r="D28" s="277"/>
      <c r="E28" s="278"/>
      <c r="F28" s="288"/>
      <c r="G28" s="289"/>
    </row>
    <row r="29" spans="1:7" s="256" customFormat="1" ht="13.5" customHeight="1">
      <c r="A29" s="949" t="s">
        <v>792</v>
      </c>
      <c r="B29" s="290" t="s">
        <v>1063</v>
      </c>
      <c r="C29" s="280">
        <f>ROUND(C21*F27*'数据-取费表'!B21/'数据-取费表'!B20,4)</f>
        <v>2E-3</v>
      </c>
      <c r="D29" s="277"/>
      <c r="E29" s="278"/>
      <c r="F29" s="288"/>
      <c r="G29" s="289"/>
    </row>
    <row r="30" spans="1:7" s="256" customFormat="1" ht="13.5" customHeight="1">
      <c r="A30" s="946" t="s">
        <v>788</v>
      </c>
      <c r="B30" s="252" t="s">
        <v>58</v>
      </c>
      <c r="C30" s="277">
        <f>F30</f>
        <v>5.6000000000000001E-2</v>
      </c>
      <c r="D30" s="278" t="s">
        <v>127</v>
      </c>
      <c r="E30" s="283"/>
      <c r="F30" s="279">
        <f>'数据-取费表'!B41</f>
        <v>5.6000000000000001E-2</v>
      </c>
      <c r="G30" s="276" t="s">
        <v>113</v>
      </c>
    </row>
    <row r="31" spans="1:7" ht="16.5" customHeight="1">
      <c r="A31" s="251">
        <v>1</v>
      </c>
      <c r="B31" s="252" t="s">
        <v>128</v>
      </c>
      <c r="C31" s="253">
        <f ca="1">ROUND((C5+C19+C20+C22+C27)/(1-C21-D22-D27-C30/(1+'数据-取费表'!B42)),0)</f>
        <v>27013</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2998</v>
      </c>
      <c r="D33" s="274"/>
      <c r="E33" s="254"/>
      <c r="F33" s="283"/>
      <c r="G33" s="276"/>
    </row>
    <row r="34" spans="1:7" s="300" customFormat="1" ht="13.5" customHeight="1">
      <c r="A34" s="949" t="s">
        <v>794</v>
      </c>
      <c r="B34" s="257" t="s">
        <v>59</v>
      </c>
      <c r="C34" s="262">
        <f>IF(F34=100%,'数据-取费表'!M16-SUMIF('数据-取费表'!C:C,"公共配套",'数据-取费表'!M:M),'数据-取费表'!O16-SUMIF('数据-取费表'!C:C,"公共配套",'数据-取费表'!O:O))</f>
        <v>2604</v>
      </c>
      <c r="D34" s="259"/>
      <c r="E34" s="262"/>
      <c r="F34" s="299">
        <f>IF('数据-取费表'!B24=0,1,'数据-取费表'!N16)</f>
        <v>0.157</v>
      </c>
      <c r="G34" s="261" t="s">
        <v>116</v>
      </c>
    </row>
    <row r="35" spans="1:7" ht="13.5" customHeight="1">
      <c r="A35" s="949" t="s">
        <v>796</v>
      </c>
      <c r="B35" s="257" t="s">
        <v>60</v>
      </c>
      <c r="C35" s="262">
        <f>ROUND(C34*F35,0)</f>
        <v>78</v>
      </c>
      <c r="D35" s="262"/>
      <c r="E35" s="262"/>
      <c r="F35" s="301">
        <f>'数据-取费表'!B33</f>
        <v>0.03</v>
      </c>
      <c r="G35" s="261" t="s">
        <v>117</v>
      </c>
    </row>
    <row r="36" spans="1:7" ht="24">
      <c r="A36" s="949"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66</v>
      </c>
      <c r="D36" s="262"/>
      <c r="E36" s="262"/>
      <c r="F36" s="301">
        <f>'数据-取费表'!B34</f>
        <v>0.05</v>
      </c>
      <c r="G36" s="302" t="s">
        <v>62</v>
      </c>
    </row>
    <row r="37" spans="1:7" s="300" customFormat="1" ht="13.5" customHeight="1">
      <c r="A37" s="949" t="s">
        <v>798</v>
      </c>
      <c r="B37" s="257" t="s">
        <v>118</v>
      </c>
      <c r="C37" s="291">
        <f>ROUND(E37*D37*F34/10000,0)</f>
        <v>211</v>
      </c>
      <c r="D37" s="259">
        <f>'数据-汇总表'!E3</f>
        <v>67330.170000000013</v>
      </c>
      <c r="E37" s="291">
        <f>'数据-取费表'!B35</f>
        <v>200</v>
      </c>
      <c r="F37" s="301"/>
      <c r="G37" s="303" t="s">
        <v>119</v>
      </c>
    </row>
    <row r="38" spans="1:7" ht="13.5" customHeight="1">
      <c r="A38" s="949" t="s">
        <v>799</v>
      </c>
      <c r="B38" s="257" t="s">
        <v>63</v>
      </c>
      <c r="C38" s="262">
        <f>ROUND(C34*F38,0)</f>
        <v>39</v>
      </c>
      <c r="D38" s="262"/>
      <c r="E38" s="262"/>
      <c r="F38" s="301">
        <f>'数据-取费表'!B36</f>
        <v>1.4999999999999999E-2</v>
      </c>
      <c r="G38" s="261" t="s">
        <v>117</v>
      </c>
    </row>
    <row r="39" spans="1:7" s="256" customFormat="1" ht="13.5" customHeight="1">
      <c r="A39" s="946" t="s">
        <v>783</v>
      </c>
      <c r="B39" s="252" t="s">
        <v>104</v>
      </c>
      <c r="C39" s="274">
        <f>ROUND(C33*F20,0)</f>
        <v>45</v>
      </c>
      <c r="D39" s="274"/>
      <c r="E39" s="274"/>
      <c r="F39" s="275"/>
      <c r="G39" s="1287" t="s">
        <v>1071</v>
      </c>
    </row>
    <row r="40" spans="1:7" s="256" customFormat="1" ht="13.5" customHeight="1">
      <c r="A40" s="946" t="s">
        <v>784</v>
      </c>
      <c r="B40" s="252" t="s">
        <v>105</v>
      </c>
      <c r="C40" s="304">
        <f>F21</f>
        <v>2.5000000000000001E-2</v>
      </c>
      <c r="D40" s="278" t="s">
        <v>129</v>
      </c>
      <c r="E40" s="274"/>
      <c r="F40" s="275"/>
      <c r="G40" s="276" t="s">
        <v>120</v>
      </c>
    </row>
    <row r="41" spans="1:7" s="256" customFormat="1" ht="13.5" customHeight="1">
      <c r="A41" s="946" t="s">
        <v>785</v>
      </c>
      <c r="B41" s="252" t="s">
        <v>107</v>
      </c>
      <c r="C41" s="274">
        <f ca="1">ROUND(SUM(C42:C43),0)</f>
        <v>86</v>
      </c>
      <c r="D41" s="277">
        <f ca="1">C44</f>
        <v>6.9999999999999999E-4</v>
      </c>
      <c r="E41" s="278" t="s">
        <v>129</v>
      </c>
      <c r="F41" s="279"/>
      <c r="G41" s="1287" t="str">
        <f>IF('数据-取费表'!B22&lt;=1,"单利计息","复利计息")</f>
        <v>复利计息</v>
      </c>
    </row>
    <row r="42" spans="1:7" ht="13.5" customHeight="1">
      <c r="A42" s="949" t="s">
        <v>794</v>
      </c>
      <c r="B42" s="257" t="s">
        <v>1061</v>
      </c>
      <c r="C42" s="280">
        <f ca="1">ROUND(IF('数据-取费表'!B22&lt;=1,C33*F22*'数据-取费表'!B21/2,C33*(POWER((1+F22),'数据-取费表'!B21/2)-1)),0)</f>
        <v>85</v>
      </c>
      <c r="D42" s="280"/>
      <c r="E42" s="280"/>
      <c r="F42" s="281"/>
      <c r="G42" s="3178" t="s">
        <v>121</v>
      </c>
    </row>
    <row r="43" spans="1:7" ht="13.5" customHeight="1">
      <c r="A43" s="949" t="s">
        <v>792</v>
      </c>
      <c r="B43" s="257" t="s">
        <v>1064</v>
      </c>
      <c r="C43" s="280">
        <f ca="1">ROUND(IF('数据-取费表'!B22&lt;=1,C39*F22*'数据-取费表'!B21/2,C39*(POWER((1+F22),'数据-取费表'!B21/2)-1)),0)</f>
        <v>1</v>
      </c>
      <c r="D43" s="280"/>
      <c r="E43" s="280"/>
      <c r="F43" s="281"/>
      <c r="G43" s="3179"/>
    </row>
    <row r="44" spans="1:7" ht="13.5" customHeight="1">
      <c r="A44" s="949" t="s">
        <v>793</v>
      </c>
      <c r="B44" s="257" t="s">
        <v>1066</v>
      </c>
      <c r="C44" s="280">
        <f ca="1">ROUND(IF('数据-取费表'!B22&lt;=1,C40*F22*'数据-取费表'!B21/2,C40*(POWER((1+F22),'数据-取费表'!B21/2)-1)),4)</f>
        <v>6.9999999999999999E-4</v>
      </c>
      <c r="D44" s="280"/>
      <c r="E44" s="280"/>
      <c r="F44" s="281"/>
      <c r="G44" s="3180"/>
    </row>
    <row r="45" spans="1:7" s="256" customFormat="1" ht="13.5" customHeight="1">
      <c r="A45" s="946" t="s">
        <v>786</v>
      </c>
      <c r="B45" s="286" t="s">
        <v>112</v>
      </c>
      <c r="C45" s="287">
        <f>C46</f>
        <v>517</v>
      </c>
      <c r="D45" s="277">
        <f>C47</f>
        <v>4.3E-3</v>
      </c>
      <c r="E45" s="278" t="s">
        <v>129</v>
      </c>
      <c r="F45" s="288"/>
      <c r="G45" s="289" t="s">
        <v>1072</v>
      </c>
    </row>
    <row r="46" spans="1:7" s="256" customFormat="1" ht="13.5" customHeight="1">
      <c r="A46" s="949" t="s">
        <v>794</v>
      </c>
      <c r="B46" s="290" t="s">
        <v>1065</v>
      </c>
      <c r="C46" s="291">
        <f>ROUND((C33+C39)*F27,0)</f>
        <v>517</v>
      </c>
      <c r="D46" s="305"/>
      <c r="E46" s="278"/>
      <c r="F46" s="288"/>
      <c r="G46" s="289"/>
    </row>
    <row r="47" spans="1:7" s="256" customFormat="1" ht="13.5" customHeight="1">
      <c r="A47" s="949" t="s">
        <v>792</v>
      </c>
      <c r="B47" s="290" t="s">
        <v>1067</v>
      </c>
      <c r="C47" s="280">
        <f>ROUND(C40*F27,4)</f>
        <v>4.3E-3</v>
      </c>
      <c r="D47" s="305"/>
      <c r="E47" s="278"/>
      <c r="F47" s="288"/>
      <c r="G47" s="289"/>
    </row>
    <row r="48" spans="1:7" s="256" customFormat="1" ht="13.5" customHeight="1">
      <c r="A48" s="946" t="s">
        <v>787</v>
      </c>
      <c r="B48" s="252" t="s">
        <v>122</v>
      </c>
      <c r="C48" s="304">
        <f>F30</f>
        <v>5.6000000000000001E-2</v>
      </c>
      <c r="D48" s="278" t="s">
        <v>130</v>
      </c>
      <c r="E48" s="274"/>
      <c r="F48" s="279"/>
      <c r="G48" s="276" t="s">
        <v>123</v>
      </c>
    </row>
    <row r="49" spans="1:7" ht="16.5" customHeight="1">
      <c r="A49" s="946" t="s">
        <v>788</v>
      </c>
      <c r="B49" s="252" t="s">
        <v>131</v>
      </c>
      <c r="C49" s="274">
        <f ca="1">ROUND((C33+C39+C41+C45)/(1-C40-D41-D45-C48/(1+'数据-取费表'!B42)),0)</f>
        <v>3977</v>
      </c>
      <c r="D49" s="274"/>
      <c r="E49" s="274"/>
      <c r="F49" s="306"/>
      <c r="G49" s="276" t="s">
        <v>1073</v>
      </c>
    </row>
    <row r="50" spans="1:7" s="300" customFormat="1" ht="24">
      <c r="A50" s="946" t="s">
        <v>789</v>
      </c>
      <c r="B50" s="252" t="s">
        <v>124</v>
      </c>
      <c r="C50" s="274"/>
      <c r="D50" s="274"/>
      <c r="E50" s="274"/>
      <c r="F50" s="306">
        <f>IF('数据-取费表'!B24=0,'数据-取费表'!N16,1)</f>
        <v>1</v>
      </c>
      <c r="G50" s="289" t="s">
        <v>125</v>
      </c>
    </row>
    <row r="51" spans="1:7" ht="16.5" customHeight="1">
      <c r="A51" s="946" t="s">
        <v>790</v>
      </c>
      <c r="B51" s="252" t="s">
        <v>132</v>
      </c>
      <c r="C51" s="274">
        <f ca="1">ROUND(C49*F50,0)</f>
        <v>3977</v>
      </c>
      <c r="D51" s="274"/>
      <c r="E51" s="274"/>
      <c r="F51" s="306"/>
      <c r="G51" s="276" t="s">
        <v>64</v>
      </c>
    </row>
    <row r="52" spans="1:7" s="250" customFormat="1" ht="16.5" thickBot="1">
      <c r="A52" s="307" t="s">
        <v>65</v>
      </c>
      <c r="B52" s="308"/>
      <c r="C52" s="309">
        <f ca="1">C31+C51</f>
        <v>30990</v>
      </c>
      <c r="D52" s="308"/>
      <c r="E52" s="308"/>
      <c r="F52" s="308"/>
      <c r="G52" s="310"/>
    </row>
    <row r="55" spans="1:7" ht="15">
      <c r="B55" s="312" t="s">
        <v>66</v>
      </c>
      <c r="C55" s="313"/>
    </row>
    <row r="56" spans="1:7">
      <c r="B56" s="315" t="s">
        <v>67</v>
      </c>
      <c r="C56" s="316">
        <f ca="1">ROUND(C51/C52,3)</f>
        <v>0.128</v>
      </c>
    </row>
    <row r="57" spans="1:7">
      <c r="B57" s="315" t="s">
        <v>68</v>
      </c>
      <c r="C57" s="317">
        <f ca="1">1-C56</f>
        <v>0.872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317" t="s">
        <v>156</v>
      </c>
      <c r="B1" s="3317"/>
      <c r="C1" s="3317"/>
      <c r="D1" s="3317"/>
      <c r="E1" s="3317"/>
      <c r="F1" s="3317"/>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18" t="s">
        <v>169</v>
      </c>
      <c r="B2" s="3318"/>
      <c r="C2" s="3318"/>
      <c r="D2" s="3318"/>
      <c r="E2" s="3318"/>
      <c r="F2" s="3318"/>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19"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20"/>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317" t="s">
        <v>871</v>
      </c>
      <c r="B1" s="3317"/>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1301</v>
      </c>
      <c r="C1" s="1691">
        <f>项目基本情况!D3</f>
        <v>43056</v>
      </c>
      <c r="D1" s="1697" t="s">
        <v>1302</v>
      </c>
      <c r="E1" s="1692">
        <f>'数据-取费表'!B22</f>
        <v>2.5</v>
      </c>
      <c r="F1" s="1697" t="s">
        <v>1303</v>
      </c>
      <c r="G1" s="1693">
        <f ca="1">INDIRECT("d"&amp;$K$1)/100</f>
        <v>4.7500000000000001E-2</v>
      </c>
      <c r="H1" s="1697" t="s">
        <v>1333</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1304</v>
      </c>
      <c r="E2" s="1633"/>
      <c r="F2" s="1633" t="s">
        <v>1305</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1306</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1307</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1308</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1309</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1310</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1311</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1312</v>
      </c>
      <c r="C10" s="1661"/>
      <c r="D10" s="1661"/>
      <c r="E10" s="1661"/>
      <c r="F10" s="1661"/>
      <c r="G10" s="1661"/>
      <c r="H10" s="1661"/>
      <c r="I10" s="1635"/>
      <c r="J10" s="1635"/>
      <c r="K10" s="1661"/>
      <c r="L10" s="1662" t="s">
        <v>1313</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1314</v>
      </c>
      <c r="C11" s="1666" t="s">
        <v>1315</v>
      </c>
      <c r="D11" s="1667" t="s">
        <v>1316</v>
      </c>
      <c r="E11" s="1668"/>
      <c r="F11" s="1667" t="s">
        <v>1317</v>
      </c>
      <c r="G11" s="1669"/>
      <c r="H11" s="1668"/>
      <c r="I11" s="1667" t="s">
        <v>1318</v>
      </c>
      <c r="J11" s="1668"/>
      <c r="K11" s="1664"/>
      <c r="L11" s="1665" t="s">
        <v>1314</v>
      </c>
      <c r="M11" s="1666" t="s">
        <v>1315</v>
      </c>
      <c r="N11" s="1665" t="s">
        <v>1319</v>
      </c>
      <c r="O11" s="1667" t="s">
        <v>1320</v>
      </c>
      <c r="P11" s="1669"/>
      <c r="Q11" s="1669"/>
      <c r="R11" s="1669"/>
      <c r="S11" s="1669"/>
      <c r="T11" s="1668"/>
      <c r="U11" s="1667" t="s">
        <v>1321</v>
      </c>
      <c r="V11" s="1669"/>
      <c r="W11" s="1668"/>
      <c r="X11" s="1665" t="s">
        <v>1322</v>
      </c>
      <c r="Y11" s="1665" t="s">
        <v>1323</v>
      </c>
      <c r="Z11" s="1665" t="s">
        <v>1324</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1325</v>
      </c>
      <c r="E12" s="1674" t="s">
        <v>1326</v>
      </c>
      <c r="F12" s="1674" t="s">
        <v>1327</v>
      </c>
      <c r="G12" s="1674" t="s">
        <v>1328</v>
      </c>
      <c r="H12" s="1674" t="s">
        <v>1310</v>
      </c>
      <c r="I12" s="1675" t="s">
        <v>1329</v>
      </c>
      <c r="J12" s="1675" t="s">
        <v>1329</v>
      </c>
      <c r="K12" s="1671"/>
      <c r="L12" s="1672"/>
      <c r="M12" s="1673"/>
      <c r="N12" s="1672"/>
      <c r="O12" s="1675" t="s">
        <v>1330</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1331</v>
      </c>
      <c r="C13" s="1679">
        <v>42301</v>
      </c>
      <c r="D13" s="1680">
        <v>4.3499999999999996</v>
      </c>
      <c r="E13" s="1680">
        <v>4.3499999999999996</v>
      </c>
      <c r="F13" s="1680">
        <v>4.75</v>
      </c>
      <c r="G13" s="1680">
        <v>4.75</v>
      </c>
      <c r="H13" s="1680">
        <v>4.9000000000000004</v>
      </c>
      <c r="I13" s="1680">
        <v>2.75</v>
      </c>
      <c r="J13" s="1680">
        <v>3.25</v>
      </c>
      <c r="K13" s="1677"/>
      <c r="L13" s="1678" t="s">
        <v>1331</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1332</v>
      </c>
      <c r="Y42" s="1684" t="s">
        <v>1332</v>
      </c>
      <c r="Z42" s="1684" t="s">
        <v>1332</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1332</v>
      </c>
      <c r="Y43" s="1684" t="s">
        <v>1332</v>
      </c>
      <c r="Z43" s="1684" t="s">
        <v>1332</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1332</v>
      </c>
      <c r="Y44" s="1684" t="s">
        <v>1332</v>
      </c>
      <c r="Z44" s="1684" t="s">
        <v>1332</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1332</v>
      </c>
      <c r="Y45" s="1684" t="s">
        <v>1332</v>
      </c>
      <c r="Z45" s="1684" t="s">
        <v>1332</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1332</v>
      </c>
      <c r="Y46" s="1684" t="s">
        <v>1332</v>
      </c>
      <c r="Z46" s="1684" t="s">
        <v>1332</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1332</v>
      </c>
      <c r="Y47" s="1684" t="s">
        <v>1332</v>
      </c>
      <c r="Z47" s="1684" t="s">
        <v>1332</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1332</v>
      </c>
      <c r="Y48" s="1684" t="s">
        <v>1332</v>
      </c>
      <c r="Z48" s="1684" t="s">
        <v>1332</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1332</v>
      </c>
      <c r="Y49" s="1684" t="s">
        <v>1332</v>
      </c>
      <c r="Z49" s="1684" t="s">
        <v>1332</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1332</v>
      </c>
      <c r="Y50" s="1684" t="s">
        <v>1332</v>
      </c>
      <c r="Z50" s="1684" t="s">
        <v>1332</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1332</v>
      </c>
      <c r="V51" s="1684" t="s">
        <v>1332</v>
      </c>
      <c r="W51" s="1684" t="s">
        <v>1332</v>
      </c>
      <c r="X51" s="1684" t="s">
        <v>1332</v>
      </c>
      <c r="Y51" s="1684" t="s">
        <v>1332</v>
      </c>
      <c r="Z51" s="1684" t="s">
        <v>1332</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1332</v>
      </c>
      <c r="J55" s="1684" t="s">
        <v>1332</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1373</v>
      </c>
      <c r="E1" s="1773" t="s">
        <v>1377</v>
      </c>
      <c r="F1" s="1774" t="s">
        <v>1381</v>
      </c>
    </row>
    <row r="2" spans="1:13" ht="20.25">
      <c r="A2" s="1780" t="s">
        <v>1374</v>
      </c>
    </row>
    <row r="3" spans="1:13" ht="16.5">
      <c r="A3" s="1781" t="s">
        <v>1375</v>
      </c>
    </row>
    <row r="4" spans="1:13" ht="14.25">
      <c r="A4" s="1771" t="s">
        <v>1376</v>
      </c>
      <c r="B4" s="1776" t="s">
        <v>1378</v>
      </c>
      <c r="C4" s="1777"/>
      <c r="D4" s="1778"/>
      <c r="E4" s="1776" t="s">
        <v>27</v>
      </c>
      <c r="F4" s="1777"/>
      <c r="G4" s="1778"/>
      <c r="H4" s="1776" t="s">
        <v>1379</v>
      </c>
      <c r="I4" s="1777"/>
      <c r="J4" s="1778"/>
      <c r="K4" s="1776" t="s">
        <v>6</v>
      </c>
      <c r="L4" s="1777"/>
      <c r="M4" s="1778"/>
    </row>
    <row r="5" spans="1:13" ht="14.25">
      <c r="A5" s="1772" t="s">
        <v>1380</v>
      </c>
      <c r="B5" s="1771" t="s">
        <v>1382</v>
      </c>
      <c r="C5" s="1771" t="s">
        <v>1383</v>
      </c>
      <c r="D5" s="1771" t="s">
        <v>1384</v>
      </c>
      <c r="E5" s="1771" t="s">
        <v>1382</v>
      </c>
      <c r="F5" s="1771" t="s">
        <v>1383</v>
      </c>
      <c r="G5" s="1771" t="s">
        <v>1384</v>
      </c>
      <c r="H5" s="1771" t="s">
        <v>1382</v>
      </c>
      <c r="I5" s="1771" t="s">
        <v>1383</v>
      </c>
      <c r="J5" s="1771" t="s">
        <v>1384</v>
      </c>
      <c r="K5" s="1771" t="s">
        <v>1382</v>
      </c>
      <c r="L5" s="1771" t="s">
        <v>1383</v>
      </c>
      <c r="M5" s="1771" t="s">
        <v>1384</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46" sqref="R46"/>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2" customWidth="1"/>
    <col min="2" max="9" width="12.125" style="1942" customWidth="1"/>
    <col min="10" max="16384" width="9" style="1942"/>
  </cols>
  <sheetData>
    <row r="1" spans="1:9" ht="18.75" thickBot="1">
      <c r="A1" s="3003" t="str">
        <f>IF(项目基本情况!B9="房地产市场价值","估价结果一览表","结果表-2")</f>
        <v>结果表-2</v>
      </c>
      <c r="B1" s="3003"/>
      <c r="C1" s="3003"/>
      <c r="D1" s="3003"/>
      <c r="E1" s="3003"/>
      <c r="F1" s="3003"/>
      <c r="G1" s="3003"/>
      <c r="H1" s="3003"/>
      <c r="I1" s="3003"/>
    </row>
    <row r="2" spans="1:9" ht="30" customHeight="1" thickTop="1">
      <c r="A2" s="3004" t="s">
        <v>1643</v>
      </c>
      <c r="B2" s="3004" t="s">
        <v>1644</v>
      </c>
      <c r="C2" s="3004" t="s">
        <v>1645</v>
      </c>
      <c r="D2" s="3004" t="str">
        <f>结果表!D116</f>
        <v>出让国有建设用地使用权价值</v>
      </c>
      <c r="E2" s="3004"/>
      <c r="F2" s="3004" t="str">
        <f>结果表!F116</f>
        <v>在建建筑物价值</v>
      </c>
      <c r="G2" s="3004"/>
      <c r="H2" s="3004" t="str">
        <f>IF(项目基本情况!B9="房地产市场价值","房地产市场价值","房地产价值")</f>
        <v>房地产价值</v>
      </c>
      <c r="I2" s="3004"/>
    </row>
    <row r="3" spans="1:9" ht="15">
      <c r="A3" s="3005"/>
      <c r="B3" s="3005"/>
      <c r="C3" s="3005"/>
      <c r="D3" s="1042" t="s">
        <v>1640</v>
      </c>
      <c r="E3" s="1042" t="s">
        <v>1646</v>
      </c>
      <c r="F3" s="1042" t="s">
        <v>1640</v>
      </c>
      <c r="G3" s="1042" t="s">
        <v>1641</v>
      </c>
      <c r="H3" s="1042" t="s">
        <v>1640</v>
      </c>
      <c r="I3" s="1042" t="s">
        <v>1641</v>
      </c>
    </row>
    <row r="4" spans="1:9" ht="60">
      <c r="A4" s="1970" t="str">
        <f>项目基本情况!S2</f>
        <v>山东省济南市高新区凤凰路以西、旅游路以南出让国有建设用地使用权及在建建筑物房地产</v>
      </c>
      <c r="B4" s="1042">
        <f>项目基本情况!C17</f>
        <v>67330.170000000013</v>
      </c>
      <c r="C4" s="1042">
        <f>项目基本情况!C18</f>
        <v>21196.98</v>
      </c>
      <c r="D4" s="1042">
        <f ca="1">结果表!D118</f>
        <v>86898</v>
      </c>
      <c r="E4" s="1042">
        <f ca="1">结果表!E118</f>
        <v>12906</v>
      </c>
      <c r="F4" s="1042">
        <f ca="1">结果表!F118</f>
        <v>3715</v>
      </c>
      <c r="G4" s="1042">
        <f ca="1">结果表!G118</f>
        <v>552</v>
      </c>
      <c r="H4" s="1042">
        <f ca="1">结果表!H118</f>
        <v>90613</v>
      </c>
      <c r="I4" s="1042">
        <f ca="1">结果表!I118</f>
        <v>13458</v>
      </c>
    </row>
    <row r="5" spans="1:9" ht="30" customHeight="1">
      <c r="A5" s="3005" t="s">
        <v>1642</v>
      </c>
      <c r="B5" s="3005"/>
      <c r="C5" s="3005"/>
      <c r="D5" s="3006" t="str">
        <f ca="1">结果表!D119</f>
        <v>捌亿陆仟捌佰玖拾捌万元整</v>
      </c>
      <c r="E5" s="3006"/>
      <c r="F5" s="3006" t="str">
        <f ca="1">结果表!F119</f>
        <v>叁仟柒佰壹拾伍万元整</v>
      </c>
      <c r="G5" s="3006"/>
      <c r="H5" s="3006" t="str">
        <f ca="1">结果表!H119</f>
        <v>玖亿零陆佰壹拾叁万元整</v>
      </c>
      <c r="I5" s="3006"/>
    </row>
    <row r="6" spans="1:9" ht="15.75">
      <c r="A6" s="3007" t="str">
        <f>结果表!A120</f>
        <v>估价师知悉的除抵押担保权以外的法定优先受偿款</v>
      </c>
      <c r="B6" s="3007"/>
      <c r="C6" s="3007"/>
      <c r="D6" s="3007">
        <f>结果表!D120</f>
        <v>0</v>
      </c>
      <c r="E6" s="3007"/>
      <c r="F6" s="3007"/>
      <c r="G6" s="3007"/>
      <c r="H6" s="3007"/>
      <c r="I6" s="3007"/>
    </row>
    <row r="7" spans="1:9" ht="15">
      <c r="A7" s="3005" t="s">
        <v>1642</v>
      </c>
      <c r="B7" s="3005"/>
      <c r="C7" s="3005"/>
      <c r="D7" s="3008" t="str">
        <f>结果表!D121</f>
        <v>零元整</v>
      </c>
      <c r="E7" s="3009"/>
      <c r="F7" s="3009"/>
      <c r="G7" s="3009"/>
      <c r="H7" s="3009"/>
      <c r="I7" s="3010"/>
    </row>
    <row r="8" spans="1:9" ht="15.75">
      <c r="A8" s="3007" t="str">
        <f>结果表!A122</f>
        <v/>
      </c>
      <c r="B8" s="3007"/>
      <c r="C8" s="3007"/>
      <c r="D8" s="3007" t="str">
        <f>结果表!D122</f>
        <v>——</v>
      </c>
      <c r="E8" s="3007"/>
      <c r="F8" s="3007"/>
      <c r="G8" s="3007"/>
      <c r="H8" s="3007"/>
      <c r="I8" s="3007"/>
    </row>
    <row r="9" spans="1:9" ht="15">
      <c r="A9" s="3005" t="s">
        <v>1642</v>
      </c>
      <c r="B9" s="3005"/>
      <c r="C9" s="3005"/>
      <c r="D9" s="3006" t="e">
        <f>结果表!D123</f>
        <v>#VALUE!</v>
      </c>
      <c r="E9" s="3006"/>
      <c r="F9" s="3006"/>
      <c r="G9" s="3006"/>
      <c r="H9" s="3006"/>
      <c r="I9" s="3006"/>
    </row>
    <row r="10" spans="1:9" ht="15.75">
      <c r="A10" s="3007" t="str">
        <f>结果表!A124</f>
        <v>抵押担保权已注销时的房地产抵押价值</v>
      </c>
      <c r="B10" s="3007"/>
      <c r="C10" s="3007"/>
      <c r="D10" s="3007">
        <f ca="1">结果表!D124</f>
        <v>90613</v>
      </c>
      <c r="E10" s="3007"/>
      <c r="F10" s="3007"/>
      <c r="G10" s="3007"/>
      <c r="H10" s="3007"/>
      <c r="I10" s="3007"/>
    </row>
    <row r="11" spans="1:9" ht="15">
      <c r="A11" s="3005" t="s">
        <v>1642</v>
      </c>
      <c r="B11" s="3005"/>
      <c r="C11" s="3005"/>
      <c r="D11" s="3006" t="str">
        <f ca="1">结果表!D125</f>
        <v>玖亿零陆佰壹拾叁万元整</v>
      </c>
      <c r="E11" s="3006"/>
      <c r="F11" s="3006"/>
      <c r="G11" s="3006"/>
      <c r="H11" s="3006"/>
      <c r="I11" s="3006"/>
    </row>
    <row r="12" spans="1:9" ht="15.75">
      <c r="A12" s="3007" t="str">
        <f>结果表!A126</f>
        <v/>
      </c>
      <c r="B12" s="3007"/>
      <c r="C12" s="3007"/>
      <c r="D12" s="3007" t="str">
        <f>结果表!D126</f>
        <v>——</v>
      </c>
      <c r="E12" s="3007"/>
      <c r="F12" s="3007"/>
      <c r="G12" s="3007"/>
      <c r="H12" s="3007"/>
      <c r="I12" s="3007"/>
    </row>
    <row r="13" spans="1:9" ht="15.75" thickBot="1">
      <c r="A13" s="3011" t="s">
        <v>1642</v>
      </c>
      <c r="B13" s="3011"/>
      <c r="C13" s="3011"/>
      <c r="D13" s="3012" t="e">
        <f>结果表!D127</f>
        <v>#VALUE!</v>
      </c>
      <c r="E13" s="3012"/>
      <c r="F13" s="3012"/>
      <c r="G13" s="3012"/>
      <c r="H13" s="3012"/>
      <c r="I13" s="3012"/>
    </row>
    <row r="14" spans="1:9" ht="15" thickTop="1">
      <c r="A14" s="3013" t="s">
        <v>1647</v>
      </c>
      <c r="B14" s="3013"/>
      <c r="C14" s="3013"/>
      <c r="D14" s="3013"/>
      <c r="E14" s="3013"/>
      <c r="F14" s="3013"/>
      <c r="G14" s="3013"/>
      <c r="H14" s="3013"/>
      <c r="I14" s="3013"/>
    </row>
    <row r="16" spans="1:9" ht="18.75">
      <c r="A16" s="1971" t="s">
        <v>1630</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2" customWidth="1"/>
    <col min="2" max="3" width="22.375" style="1942" customWidth="1"/>
    <col min="4" max="4" width="23" style="1942" customWidth="1"/>
    <col min="5" max="16384" width="9" style="1942"/>
  </cols>
  <sheetData>
    <row r="1" spans="1:4" ht="18.75">
      <c r="A1" s="3014" t="s">
        <v>1664</v>
      </c>
      <c r="B1" s="3014"/>
      <c r="C1" s="3014"/>
      <c r="D1" s="3014"/>
    </row>
    <row r="2" spans="1:4" ht="18">
      <c r="A2" s="3015" t="s">
        <v>1648</v>
      </c>
      <c r="B2" s="3015"/>
      <c r="C2" s="3015"/>
      <c r="D2" s="3015"/>
    </row>
    <row r="3" spans="1:4" ht="18.75">
      <c r="A3" s="1974" t="s">
        <v>1649</v>
      </c>
      <c r="B3" s="1974" t="s">
        <v>1650</v>
      </c>
      <c r="C3" s="1974" t="s">
        <v>1651</v>
      </c>
      <c r="D3" s="1974" t="s">
        <v>1652</v>
      </c>
    </row>
    <row r="4" spans="1:4" ht="56.25" customHeight="1">
      <c r="A4" s="1975" t="str">
        <f>项目基本情况!B4</f>
        <v>郑燚</v>
      </c>
      <c r="B4" s="1976">
        <f ca="1">项目基本情况!C4</f>
        <v>1120070131</v>
      </c>
      <c r="C4" s="1977"/>
      <c r="D4" s="1978" t="s">
        <v>1653</v>
      </c>
    </row>
    <row r="5" spans="1:4" ht="56.25" customHeight="1">
      <c r="A5" s="1975" t="str">
        <f>项目基本情况!D4</f>
        <v>王鹏</v>
      </c>
      <c r="B5" s="1976">
        <f ca="1">项目基本情况!E4</f>
        <v>1120050019</v>
      </c>
      <c r="C5" s="1979"/>
      <c r="D5" s="1978" t="s">
        <v>1653</v>
      </c>
    </row>
    <row r="6" spans="1:4" ht="18">
      <c r="A6" s="3015" t="s">
        <v>1654</v>
      </c>
      <c r="B6" s="3015"/>
      <c r="C6" s="3015"/>
      <c r="D6" s="3015"/>
    </row>
    <row r="7" spans="1:4" ht="18.75">
      <c r="A7" s="1974" t="s">
        <v>1649</v>
      </c>
      <c r="B7" s="1976" t="s">
        <v>1655</v>
      </c>
      <c r="C7" s="1974" t="s">
        <v>1651</v>
      </c>
      <c r="D7" s="1974" t="s">
        <v>1652</v>
      </c>
    </row>
    <row r="8" spans="1:4" ht="56.25" customHeight="1">
      <c r="A8" s="1980" t="s">
        <v>869</v>
      </c>
      <c r="B8" s="1980" t="s">
        <v>1</v>
      </c>
      <c r="C8" s="1977"/>
      <c r="D8" s="1978" t="s">
        <v>1653</v>
      </c>
    </row>
    <row r="9" spans="1:4">
      <c r="A9" s="725"/>
      <c r="B9" s="725"/>
      <c r="C9" s="725"/>
      <c r="D9" s="725"/>
    </row>
    <row r="10" spans="1:4" ht="18.75">
      <c r="A10" s="1981" t="s">
        <v>1656</v>
      </c>
      <c r="B10" s="725"/>
      <c r="C10" s="725"/>
      <c r="D10" s="725"/>
    </row>
    <row r="11" spans="1:4" ht="30" customHeight="1">
      <c r="A11" s="3016" t="s">
        <v>1657</v>
      </c>
      <c r="B11" s="3017"/>
      <c r="C11" s="3017"/>
      <c r="D11" s="3017"/>
    </row>
    <row r="12" spans="1:4" ht="15.75">
      <c r="A12" s="30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8"/>
      <c r="C12" s="3018"/>
      <c r="D12" s="3018"/>
    </row>
    <row r="13" spans="1:4" ht="30" customHeight="1">
      <c r="A13" s="30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8"/>
      <c r="C13" s="3018"/>
      <c r="D13" s="3018"/>
    </row>
    <row r="14" spans="1:4" ht="15.75" customHeight="1">
      <c r="A14" s="3017" t="str">
        <f>IF(项目基本情况!B8="抵押","4.本次评估估价师所知悉的法定优先受偿款情况说明如下：","——")</f>
        <v>4.本次评估估价师所知悉的法定优先受偿款情况说明如下：</v>
      </c>
      <c r="B14" s="3018"/>
      <c r="C14" s="3018"/>
      <c r="D14" s="3018"/>
    </row>
    <row r="15" spans="1:4" ht="42" customHeight="1">
      <c r="A15" s="30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7"/>
      <c r="C15" s="3017"/>
      <c r="D15" s="3017"/>
    </row>
    <row r="16" spans="1:4" ht="30" customHeight="1">
      <c r="A16" s="3020" t="s">
        <v>1658</v>
      </c>
      <c r="B16" s="3020"/>
      <c r="C16" s="3020"/>
      <c r="D16" s="3020"/>
    </row>
    <row r="17" spans="1:4" ht="144" customHeight="1">
      <c r="A17" s="3020" t="s">
        <v>1659</v>
      </c>
      <c r="B17" s="3020"/>
      <c r="C17" s="3020"/>
      <c r="D17" s="3020"/>
    </row>
    <row r="18" spans="1:4" ht="15.75" customHeight="1">
      <c r="A18" s="3017" t="str">
        <f>IF(项目基本情况!B8="抵押",结果表!K120,"——")</f>
        <v>故，本次评估不存在估价师知悉的除抵押担保权以外的法定优先受偿款</v>
      </c>
      <c r="B18" s="3017"/>
      <c r="C18" s="3017"/>
      <c r="D18" s="3017"/>
    </row>
    <row r="19" spans="1:4" ht="46.5" customHeight="1">
      <c r="A19" s="30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7"/>
      <c r="C19" s="3017"/>
      <c r="D19" s="3017"/>
    </row>
    <row r="20" spans="1:4" ht="57.75" customHeight="1">
      <c r="A20" s="30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7"/>
      <c r="C20" s="3017"/>
      <c r="D20" s="3017"/>
    </row>
    <row r="21" spans="1:4" ht="57.75" customHeight="1">
      <c r="A21" s="30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1"/>
      <c r="C21" s="3021"/>
      <c r="D21" s="3021"/>
    </row>
    <row r="22" spans="1:4" ht="18.75" customHeight="1">
      <c r="A22" s="3022" t="s">
        <v>1660</v>
      </c>
      <c r="B22" s="3022"/>
      <c r="C22" s="3022"/>
      <c r="D22" s="3022"/>
    </row>
    <row r="23" spans="1:4">
      <c r="A23" s="1982"/>
      <c r="B23" s="1954"/>
      <c r="C23" s="1954"/>
      <c r="D23" s="1954"/>
    </row>
    <row r="24" spans="1:4">
      <c r="A24" s="1982"/>
      <c r="B24" s="1954"/>
      <c r="C24" s="1954"/>
      <c r="D24" s="1954"/>
    </row>
    <row r="25" spans="1:4" ht="18.75">
      <c r="A25" s="1983" t="s">
        <v>1661</v>
      </c>
    </row>
    <row r="26" spans="1:4" ht="18">
      <c r="A26" s="1952"/>
    </row>
    <row r="27" spans="1:4" ht="18.75">
      <c r="A27" s="1952" t="s">
        <v>1662</v>
      </c>
    </row>
    <row r="30" spans="1:4" ht="18.75">
      <c r="D30" s="1983" t="s">
        <v>1663</v>
      </c>
    </row>
    <row r="31" spans="1:4" ht="13.5" customHeight="1">
      <c r="C31" s="3019">
        <v>42551</v>
      </c>
      <c r="D31" s="301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0" customWidth="1"/>
    <col min="3" max="10" width="12.5" style="1940" customWidth="1"/>
    <col min="11" max="16384" width="9" style="1940"/>
  </cols>
  <sheetData>
    <row r="1" spans="1:10" ht="18.75">
      <c r="A1" s="1973" t="s">
        <v>870</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B40" sqref="B40"/>
    </sheetView>
  </sheetViews>
  <sheetFormatPr defaultColWidth="14.5" defaultRowHeight="14.25"/>
  <cols>
    <col min="1" max="1" width="14.5" style="1990" customWidth="1"/>
    <col min="2" max="16384" width="14.5" style="1972"/>
  </cols>
  <sheetData>
    <row r="1" spans="1:7" s="1987" customFormat="1" ht="18.75">
      <c r="A1" s="1986" t="s">
        <v>1665</v>
      </c>
    </row>
    <row r="3" spans="1:7">
      <c r="A3" s="1988" t="s">
        <v>82</v>
      </c>
      <c r="B3" s="1972" t="s">
        <v>1666</v>
      </c>
      <c r="G3" s="1989"/>
    </row>
    <row r="4" spans="1:7">
      <c r="G4" s="1989"/>
    </row>
    <row r="5" spans="1:7">
      <c r="A5" s="1991" t="s">
        <v>73</v>
      </c>
      <c r="B5" s="1972" t="s">
        <v>1667</v>
      </c>
      <c r="G5" s="1989"/>
    </row>
    <row r="6" spans="1:7">
      <c r="G6" s="1989"/>
    </row>
    <row r="7" spans="1:7">
      <c r="A7" s="1992" t="s">
        <v>135</v>
      </c>
      <c r="B7" s="1972" t="s">
        <v>1668</v>
      </c>
      <c r="G7" s="1989"/>
    </row>
    <row r="8" spans="1:7">
      <c r="G8" s="1989"/>
    </row>
    <row r="9" spans="1:7">
      <c r="A9" s="1993" t="s">
        <v>74</v>
      </c>
      <c r="B9" s="1972" t="s">
        <v>1669</v>
      </c>
    </row>
    <row r="11" spans="1:7">
      <c r="A11" s="1994" t="s">
        <v>75</v>
      </c>
      <c r="B11" s="1995" t="s">
        <v>72</v>
      </c>
    </row>
    <row r="13" spans="1:7">
      <c r="A13" s="1996" t="s">
        <v>1670</v>
      </c>
    </row>
    <row r="15" spans="1:7" ht="13.5">
      <c r="A15" s="3028" t="s">
        <v>1671</v>
      </c>
      <c r="B15" s="3023" t="s">
        <v>136</v>
      </c>
      <c r="C15" s="3024"/>
    </row>
    <row r="16" spans="1:7" ht="13.5">
      <c r="A16" s="3029"/>
      <c r="B16" s="3023" t="s">
        <v>69</v>
      </c>
      <c r="C16" s="3024"/>
    </row>
    <row r="17" spans="1:3" ht="13.5">
      <c r="A17" s="3029"/>
      <c r="B17" s="3026" t="s">
        <v>1672</v>
      </c>
      <c r="C17" s="1997" t="s">
        <v>1671</v>
      </c>
    </row>
    <row r="18" spans="1:3" ht="13.5">
      <c r="A18" s="3029"/>
      <c r="B18" s="3026"/>
      <c r="C18" s="1997" t="s">
        <v>1673</v>
      </c>
    </row>
    <row r="19" spans="1:3" ht="13.5">
      <c r="A19" s="3029"/>
      <c r="B19" s="3026"/>
      <c r="C19" s="1997" t="s">
        <v>1674</v>
      </c>
    </row>
    <row r="20" spans="1:3" ht="13.5">
      <c r="A20" s="3030"/>
      <c r="B20" s="3025" t="s">
        <v>1675</v>
      </c>
      <c r="C20" s="3024"/>
    </row>
    <row r="21" spans="1:3" ht="13.5">
      <c r="A21" s="1998" t="s">
        <v>1676</v>
      </c>
      <c r="B21" s="1999"/>
      <c r="C21" s="2000"/>
    </row>
    <row r="22" spans="1:3" ht="13.5">
      <c r="A22" s="3027" t="s">
        <v>1677</v>
      </c>
      <c r="B22" s="3025" t="s">
        <v>1678</v>
      </c>
      <c r="C22" s="3024"/>
    </row>
    <row r="23" spans="1:3" ht="13.5">
      <c r="A23" s="3027"/>
      <c r="B23" s="3025" t="s">
        <v>1679</v>
      </c>
      <c r="C23" s="3024"/>
    </row>
    <row r="24" spans="1:3" ht="13.5">
      <c r="A24" s="3027"/>
      <c r="B24" s="3025" t="s">
        <v>1680</v>
      </c>
      <c r="C24" s="3024"/>
    </row>
    <row r="25" spans="1:3" ht="13.5">
      <c r="A25" s="3027"/>
      <c r="B25" s="3026" t="s">
        <v>1681</v>
      </c>
      <c r="C25" s="1997" t="s">
        <v>1682</v>
      </c>
    </row>
    <row r="26" spans="1:3" ht="13.5">
      <c r="A26" s="3027"/>
      <c r="B26" s="3026"/>
      <c r="C26" s="1997" t="s">
        <v>1683</v>
      </c>
    </row>
    <row r="27" spans="1:3" ht="13.5">
      <c r="A27" s="3027"/>
      <c r="B27" s="3026"/>
      <c r="C27" s="1997" t="s">
        <v>1684</v>
      </c>
    </row>
    <row r="28" spans="1:3" ht="13.5">
      <c r="A28" s="3027"/>
      <c r="B28" s="3026"/>
      <c r="C28" s="1997" t="s">
        <v>1685</v>
      </c>
    </row>
    <row r="29" spans="1:3" ht="13.5">
      <c r="A29" s="3027"/>
      <c r="B29" s="3026"/>
      <c r="C29" s="1997" t="s">
        <v>1686</v>
      </c>
    </row>
    <row r="30" spans="1:3" ht="13.5">
      <c r="A30" s="3027"/>
      <c r="B30" s="3026"/>
      <c r="C30" s="1997" t="s">
        <v>1687</v>
      </c>
    </row>
    <row r="31" spans="1:3" ht="13.5">
      <c r="A31" s="3027"/>
      <c r="B31" s="3026"/>
      <c r="C31" s="1997" t="s">
        <v>1688</v>
      </c>
    </row>
    <row r="32" spans="1:3" ht="13.5">
      <c r="A32" s="3027"/>
      <c r="B32" s="3026"/>
      <c r="C32" s="1997" t="s">
        <v>1689</v>
      </c>
    </row>
    <row r="33" spans="1:3" ht="13.5">
      <c r="A33" s="3027"/>
      <c r="B33" s="3026"/>
      <c r="C33" s="1997" t="s">
        <v>1690</v>
      </c>
    </row>
    <row r="34" spans="1:3">
      <c r="A34" s="2001" t="s">
        <v>76</v>
      </c>
    </row>
    <row r="37" spans="1:3">
      <c r="A37" s="2001" t="s">
        <v>1691</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B7" sqref="B7"/>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43166</v>
      </c>
      <c r="C2" s="1017" t="s">
        <v>826</v>
      </c>
      <c r="D2" s="1017"/>
    </row>
    <row r="3" spans="1:6" ht="24" customHeight="1">
      <c r="A3" s="1018" t="s">
        <v>827</v>
      </c>
      <c r="B3" s="1019" t="s">
        <v>828</v>
      </c>
      <c r="C3" s="2339" t="s">
        <v>829</v>
      </c>
      <c r="D3" s="2342" t="s">
        <v>830</v>
      </c>
      <c r="E3" s="1020" t="s">
        <v>831</v>
      </c>
      <c r="F3" s="1019" t="s">
        <v>829</v>
      </c>
    </row>
    <row r="4" spans="1:6" ht="24" customHeight="1">
      <c r="A4" s="1699" t="s">
        <v>832</v>
      </c>
      <c r="B4" s="1020">
        <f ca="1">IF(C4&lt;B2,"已过期",1119970066)</f>
        <v>1119970066</v>
      </c>
      <c r="C4" s="2340">
        <v>43849</v>
      </c>
      <c r="D4" s="2343" t="s">
        <v>832</v>
      </c>
      <c r="E4" s="1020">
        <f ca="1">IF(F4&lt;B2,"已过期",96010014)</f>
        <v>96010014</v>
      </c>
      <c r="F4" s="1028">
        <v>47118</v>
      </c>
    </row>
    <row r="5" spans="1:6" ht="24" customHeight="1">
      <c r="A5" s="1699" t="s">
        <v>833</v>
      </c>
      <c r="B5" s="1020">
        <f ca="1">IF(C5&lt;B2,"已过期",1119970074)</f>
        <v>1119970074</v>
      </c>
      <c r="C5" s="2340">
        <v>43849</v>
      </c>
      <c r="D5" s="2343" t="s">
        <v>833</v>
      </c>
      <c r="E5" s="1020">
        <f ca="1">IF(F5&lt;B2,"已过期",2002110027)</f>
        <v>2002110027</v>
      </c>
      <c r="F5" s="1028">
        <v>46752</v>
      </c>
    </row>
    <row r="6" spans="1:6" ht="24" customHeight="1">
      <c r="A6" s="1699" t="s">
        <v>834</v>
      </c>
      <c r="B6" s="1020">
        <f ca="1">IF(C6&lt;B2,"已过期",1119970111)</f>
        <v>1119970111</v>
      </c>
      <c r="C6" s="2340">
        <v>43849</v>
      </c>
      <c r="D6" s="2343" t="s">
        <v>834</v>
      </c>
      <c r="E6" s="1020">
        <f ca="1">IF(F6&lt;B2,"已过期",94010078)</f>
        <v>94010078</v>
      </c>
      <c r="F6" s="1028">
        <v>46387</v>
      </c>
    </row>
    <row r="7" spans="1:6" ht="24" customHeight="1">
      <c r="A7" s="1699" t="s">
        <v>835</v>
      </c>
      <c r="B7" s="1020">
        <f ca="1">IF(C7&lt;B2,"已过期",1120050019)</f>
        <v>1120050019</v>
      </c>
      <c r="C7" s="2340">
        <v>43359</v>
      </c>
      <c r="D7" s="2343" t="s">
        <v>835</v>
      </c>
      <c r="E7" s="1020">
        <f ca="1">IF(F7&lt;B2,"已过期",2002110030)</f>
        <v>2002110030</v>
      </c>
      <c r="F7" s="1028">
        <v>46387</v>
      </c>
    </row>
    <row r="8" spans="1:6" ht="24" customHeight="1">
      <c r="A8" s="1699" t="s">
        <v>836</v>
      </c>
      <c r="B8" s="1020">
        <f ca="1">IF(C8&lt;B2,"已过期",1120000080)</f>
        <v>1120000080</v>
      </c>
      <c r="C8" s="2340">
        <v>43849</v>
      </c>
      <c r="D8" s="2343" t="s">
        <v>836</v>
      </c>
      <c r="E8" s="1020">
        <f ca="1">IF(F8&lt;B2,"已过期",2000110082)</f>
        <v>2000110082</v>
      </c>
      <c r="F8" s="1028">
        <v>46387</v>
      </c>
    </row>
    <row r="9" spans="1:6" ht="24" customHeight="1">
      <c r="A9" s="1699" t="s">
        <v>837</v>
      </c>
      <c r="B9" s="1020">
        <f ca="1">IF(C9&lt;B2,"已过期",1419970001)</f>
        <v>1419970001</v>
      </c>
      <c r="C9" s="2340">
        <v>43867</v>
      </c>
      <c r="D9" s="2343" t="s">
        <v>837</v>
      </c>
      <c r="E9" s="1020">
        <f ca="1">IF(F9&lt;B2,"已过期",2002110125)</f>
        <v>2002110125</v>
      </c>
      <c r="F9" s="1028">
        <v>47118</v>
      </c>
    </row>
    <row r="10" spans="1:6" ht="24" customHeight="1">
      <c r="A10" s="1699" t="s">
        <v>838</v>
      </c>
      <c r="B10" s="1020">
        <f ca="1">IF(C10&lt;B2,"已过期",1120060040)</f>
        <v>1120060040</v>
      </c>
      <c r="C10" s="2340">
        <v>43483</v>
      </c>
      <c r="D10" s="2343" t="s">
        <v>838</v>
      </c>
      <c r="E10" s="1020">
        <f ca="1">IF(F10&lt;B2,"已过期",2004110096)</f>
        <v>2004110096</v>
      </c>
      <c r="F10" s="1028">
        <v>47118</v>
      </c>
    </row>
    <row r="11" spans="1:6" ht="24" customHeight="1">
      <c r="A11" s="1699" t="s">
        <v>839</v>
      </c>
      <c r="B11" s="1020">
        <f ca="1">IF(C11&lt;B2,"已过期",1120100036)</f>
        <v>1120100036</v>
      </c>
      <c r="C11" s="2340">
        <v>43622</v>
      </c>
      <c r="D11" s="2343" t="s">
        <v>839</v>
      </c>
      <c r="E11" s="1020">
        <f ca="1">IF(F11&lt;B2,"已过期",2010110070)</f>
        <v>2010110070</v>
      </c>
      <c r="F11" s="1028">
        <v>47907</v>
      </c>
    </row>
    <row r="12" spans="1:6" ht="24" customHeight="1">
      <c r="A12" s="1699"/>
      <c r="B12" s="1020"/>
      <c r="C12" s="2340"/>
      <c r="D12" s="2343"/>
      <c r="E12" s="1020"/>
      <c r="F12" s="1020"/>
    </row>
    <row r="13" spans="1:6" ht="24" customHeight="1">
      <c r="A13" s="1699" t="s">
        <v>840</v>
      </c>
      <c r="B13" s="1020">
        <f ca="1">IF(C13&lt;B2,"已过期",1120070131)</f>
        <v>1120070131</v>
      </c>
      <c r="C13" s="2340">
        <v>43814</v>
      </c>
      <c r="D13" s="2343" t="s">
        <v>840</v>
      </c>
      <c r="E13" s="1020">
        <v>2014110011</v>
      </c>
      <c r="F13" s="1028">
        <v>49302</v>
      </c>
    </row>
    <row r="14" spans="1:6" ht="24" customHeight="1">
      <c r="A14" s="1699" t="s">
        <v>841</v>
      </c>
      <c r="B14" s="1020">
        <f ca="1">IF(C14&lt;B2,"已过期",1120130020)</f>
        <v>1120130020</v>
      </c>
      <c r="C14" s="2340">
        <v>43622</v>
      </c>
      <c r="D14" s="2343"/>
      <c r="E14" s="1020"/>
      <c r="F14" s="1020"/>
    </row>
    <row r="15" spans="1:6" ht="24" customHeight="1">
      <c r="A15" s="1700" t="s">
        <v>1149</v>
      </c>
      <c r="B15" s="1020">
        <v>1120070085</v>
      </c>
      <c r="C15" s="2340">
        <v>43814</v>
      </c>
      <c r="D15" s="2344" t="s">
        <v>1149</v>
      </c>
      <c r="E15" s="1020">
        <v>2004110128</v>
      </c>
      <c r="F15" s="1021">
        <v>47118</v>
      </c>
    </row>
    <row r="16" spans="1:6" ht="24" customHeight="1">
      <c r="A16" s="1699" t="s">
        <v>842</v>
      </c>
      <c r="B16" s="1020">
        <f ca="1">IF(C16&lt;B2,"已过期",1120140022)</f>
        <v>1120140022</v>
      </c>
      <c r="C16" s="2340">
        <v>44029</v>
      </c>
      <c r="D16" s="2343" t="s">
        <v>842</v>
      </c>
      <c r="E16" s="1020">
        <f ca="1">IF(F16&lt;B2,"已过期",2008110059)</f>
        <v>2008110059</v>
      </c>
      <c r="F16" s="1028">
        <v>47177</v>
      </c>
    </row>
    <row r="17" spans="1:7" ht="24" customHeight="1">
      <c r="A17" s="1699"/>
      <c r="B17" s="1020"/>
      <c r="C17" s="2340"/>
      <c r="D17" s="2343"/>
      <c r="E17" s="1020"/>
      <c r="F17" s="1028"/>
    </row>
    <row r="18" spans="1:7" ht="24" customHeight="1">
      <c r="A18" s="1699"/>
      <c r="B18" s="1020"/>
      <c r="C18" s="2340"/>
      <c r="D18" s="2343"/>
      <c r="E18" s="1020"/>
      <c r="F18" s="1028"/>
    </row>
    <row r="19" spans="1:7" ht="24" customHeight="1">
      <c r="A19" s="1699"/>
      <c r="B19" s="1020"/>
      <c r="C19" s="2340"/>
      <c r="D19" s="2343"/>
      <c r="E19" s="1020"/>
      <c r="F19" s="1020"/>
    </row>
    <row r="20" spans="1:7" ht="24" customHeight="1">
      <c r="A20" s="1699"/>
      <c r="B20" s="1020"/>
      <c r="C20" s="2340"/>
      <c r="D20" s="2343"/>
      <c r="E20" s="1020"/>
      <c r="F20" s="1020"/>
    </row>
    <row r="21" spans="1:7" ht="24" customHeight="1">
      <c r="A21" s="1699"/>
      <c r="B21" s="1020"/>
      <c r="C21" s="2340"/>
      <c r="D21" s="2343" t="s">
        <v>843</v>
      </c>
      <c r="E21" s="1020">
        <f ca="1">IF(F21&lt;B2,"已过期",2011110090)</f>
        <v>2011110090</v>
      </c>
      <c r="F21" s="1028">
        <v>48302</v>
      </c>
    </row>
    <row r="22" spans="1:7" ht="24" customHeight="1">
      <c r="A22" s="1699" t="s">
        <v>844</v>
      </c>
      <c r="B22" s="1020">
        <f ca="1">IF(C22&lt;B2,"已过期",1120020033)</f>
        <v>1120020033</v>
      </c>
      <c r="C22" s="2340">
        <v>43304</v>
      </c>
      <c r="D22" s="2343" t="s">
        <v>844</v>
      </c>
      <c r="E22" s="1020">
        <f ca="1">IF(F22&lt;B2,"已过期",2000110137)</f>
        <v>2000110137</v>
      </c>
      <c r="F22" s="1028">
        <v>46387</v>
      </c>
    </row>
    <row r="23" spans="1:7" ht="24" customHeight="1">
      <c r="A23" s="1699" t="s">
        <v>845</v>
      </c>
      <c r="B23" s="1020">
        <f ca="1">IF(C23&lt;B2,"已过期",1120130048)</f>
        <v>1120130048</v>
      </c>
      <c r="C23" s="2340">
        <v>43686</v>
      </c>
      <c r="D23" s="2343"/>
      <c r="E23" s="1020"/>
      <c r="F23" s="1020"/>
    </row>
    <row r="24" spans="1:7" s="1022" customFormat="1" ht="24" customHeight="1">
      <c r="A24" s="1700" t="s">
        <v>1334</v>
      </c>
      <c r="B24" s="1700" t="s">
        <v>1334</v>
      </c>
      <c r="C24" s="2341" t="s">
        <v>1334</v>
      </c>
      <c r="D24" s="2344" t="s">
        <v>1334</v>
      </c>
      <c r="E24" s="1700" t="s">
        <v>1334</v>
      </c>
      <c r="F24" s="1700" t="s">
        <v>1334</v>
      </c>
    </row>
    <row r="25" spans="1:7" ht="24" customHeight="1">
      <c r="A25" s="3031" t="s">
        <v>846</v>
      </c>
      <c r="B25" s="3031"/>
      <c r="C25" s="3031"/>
      <c r="D25" s="3031"/>
      <c r="E25" s="3031"/>
      <c r="F25" s="3031"/>
      <c r="G25" s="3031"/>
    </row>
    <row r="26" spans="1:7" s="1023" customFormat="1" ht="24" customHeight="1">
      <c r="A26" s="3032" t="s">
        <v>847</v>
      </c>
      <c r="B26" s="3032"/>
      <c r="C26" s="3033"/>
      <c r="D26" s="3034" t="s">
        <v>848</v>
      </c>
      <c r="E26" s="3032"/>
      <c r="F26" s="3032"/>
    </row>
    <row r="27" spans="1:7" s="1025" customFormat="1" ht="24" customHeight="1">
      <c r="A27" s="1024" t="s">
        <v>849</v>
      </c>
      <c r="B27" s="1019" t="s">
        <v>850</v>
      </c>
      <c r="C27" s="2339" t="s">
        <v>851</v>
      </c>
      <c r="D27" s="2347" t="s">
        <v>849</v>
      </c>
      <c r="E27" s="1019" t="s">
        <v>850</v>
      </c>
      <c r="F27" s="1019" t="s">
        <v>851</v>
      </c>
    </row>
    <row r="28" spans="1:7" s="1025" customFormat="1" ht="24" customHeight="1">
      <c r="A28" s="1026" t="s">
        <v>852</v>
      </c>
      <c r="B28" s="1027" t="s">
        <v>853</v>
      </c>
      <c r="C28" s="2345">
        <v>43725</v>
      </c>
      <c r="D28" s="2348" t="s">
        <v>854</v>
      </c>
      <c r="E28" s="1026" t="s">
        <v>855</v>
      </c>
      <c r="F28" s="1056">
        <v>44377</v>
      </c>
    </row>
    <row r="29" spans="1:7" s="1025" customFormat="1" ht="24" customHeight="1">
      <c r="A29" s="1026"/>
      <c r="B29" s="1026"/>
      <c r="C29" s="2346"/>
      <c r="D29" s="2348" t="s">
        <v>856</v>
      </c>
      <c r="E29" s="1200" t="s">
        <v>1385</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15" priority="55">
      <formula>AND($C28-TODAY()&lt;30,TODAY()&lt;$C28)</formula>
    </cfRule>
  </conditionalFormatting>
  <conditionalFormatting sqref="C28 F4">
    <cfRule type="cellIs" dxfId="214" priority="57" stopIfTrue="1" operator="lessThan">
      <formula>$B$2</formula>
    </cfRule>
  </conditionalFormatting>
  <conditionalFormatting sqref="C5">
    <cfRule type="expression" dxfId="213" priority="52">
      <formula>AND($C5-TODAY()&lt;30,TODAY()&lt;$C5)</formula>
    </cfRule>
  </conditionalFormatting>
  <conditionalFormatting sqref="C5 F5">
    <cfRule type="cellIs" dxfId="212" priority="53" stopIfTrue="1" operator="lessThan">
      <formula>$B$2</formula>
    </cfRule>
  </conditionalFormatting>
  <conditionalFormatting sqref="F6 F8 F10">
    <cfRule type="cellIs" dxfId="211" priority="51" stopIfTrue="1" operator="lessThan">
      <formula>$B$2</formula>
    </cfRule>
  </conditionalFormatting>
  <conditionalFormatting sqref="C4:C23">
    <cfRule type="expression" dxfId="210" priority="49">
      <formula>AND($C4-TODAY()&lt;30,TODAY()&lt;$C4)</formula>
    </cfRule>
  </conditionalFormatting>
  <conditionalFormatting sqref="F7 F9 F11 C4:C23">
    <cfRule type="cellIs" dxfId="209" priority="50" stopIfTrue="1" operator="lessThan">
      <formula>$B$2</formula>
    </cfRule>
  </conditionalFormatting>
  <conditionalFormatting sqref="C12">
    <cfRule type="expression" dxfId="208" priority="47">
      <formula>AND($C12-TODAY()&lt;30,TODAY()&lt;$C12)</formula>
    </cfRule>
  </conditionalFormatting>
  <conditionalFormatting sqref="C12">
    <cfRule type="cellIs" dxfId="207" priority="48" stopIfTrue="1" operator="lessThan">
      <formula>$B$2</formula>
    </cfRule>
  </conditionalFormatting>
  <conditionalFormatting sqref="C14">
    <cfRule type="expression" dxfId="206" priority="43">
      <formula>AND($C14-TODAY()&lt;30,TODAY()&lt;$C14)</formula>
    </cfRule>
  </conditionalFormatting>
  <conditionalFormatting sqref="C14">
    <cfRule type="cellIs" dxfId="205" priority="44" stopIfTrue="1" operator="lessThan">
      <formula>$B$2</formula>
    </cfRule>
  </conditionalFormatting>
  <conditionalFormatting sqref="C16">
    <cfRule type="expression" dxfId="204" priority="41">
      <formula>AND($C16-TODAY()&lt;30,TODAY()&lt;$C16)</formula>
    </cfRule>
  </conditionalFormatting>
  <conditionalFormatting sqref="C16">
    <cfRule type="cellIs" dxfId="203" priority="42" stopIfTrue="1" operator="lessThan">
      <formula>$B$2</formula>
    </cfRule>
  </conditionalFormatting>
  <conditionalFormatting sqref="C18">
    <cfRule type="expression" dxfId="202" priority="39">
      <formula>AND($C18-TODAY()&lt;30,TODAY()&lt;$C18)</formula>
    </cfRule>
  </conditionalFormatting>
  <conditionalFormatting sqref="C18">
    <cfRule type="cellIs" dxfId="201" priority="40" stopIfTrue="1" operator="lessThan">
      <formula>$B$2</formula>
    </cfRule>
  </conditionalFormatting>
  <conditionalFormatting sqref="C20">
    <cfRule type="expression" dxfId="200" priority="37">
      <formula>AND($C20-TODAY()&lt;30,TODAY()&lt;$C20)</formula>
    </cfRule>
  </conditionalFormatting>
  <conditionalFormatting sqref="C20">
    <cfRule type="cellIs" dxfId="199" priority="38" stopIfTrue="1" operator="lessThan">
      <formula>$B$2</formula>
    </cfRule>
  </conditionalFormatting>
  <conditionalFormatting sqref="C22">
    <cfRule type="expression" dxfId="198" priority="35">
      <formula>AND($C22-TODAY()&lt;30,TODAY()&lt;$C22)</formula>
    </cfRule>
  </conditionalFormatting>
  <conditionalFormatting sqref="C22">
    <cfRule type="cellIs" dxfId="197" priority="36" stopIfTrue="1" operator="lessThan">
      <formula>$B$2</formula>
    </cfRule>
  </conditionalFormatting>
  <conditionalFormatting sqref="C15">
    <cfRule type="expression" dxfId="196" priority="33">
      <formula>AND($C15-TODAY()&lt;30,TODAY()&lt;$C15)</formula>
    </cfRule>
  </conditionalFormatting>
  <conditionalFormatting sqref="C15">
    <cfRule type="cellIs" dxfId="195" priority="34" stopIfTrue="1" operator="lessThan">
      <formula>$B$2</formula>
    </cfRule>
  </conditionalFormatting>
  <conditionalFormatting sqref="C17">
    <cfRule type="expression" dxfId="194" priority="31">
      <formula>AND($C17-TODAY()&lt;30,TODAY()&lt;$C17)</formula>
    </cfRule>
  </conditionalFormatting>
  <conditionalFormatting sqref="C17">
    <cfRule type="cellIs" dxfId="193" priority="32" stopIfTrue="1" operator="lessThan">
      <formula>$B$2</formula>
    </cfRule>
  </conditionalFormatting>
  <conditionalFormatting sqref="C19">
    <cfRule type="expression" dxfId="192" priority="29">
      <formula>AND($C19-TODAY()&lt;30,TODAY()&lt;$C19)</formula>
    </cfRule>
  </conditionalFormatting>
  <conditionalFormatting sqref="C19">
    <cfRule type="cellIs" dxfId="191" priority="30" stopIfTrue="1" operator="lessThan">
      <formula>$B$2</formula>
    </cfRule>
  </conditionalFormatting>
  <conditionalFormatting sqref="C21">
    <cfRule type="expression" dxfId="190" priority="27">
      <formula>AND($C21-TODAY()&lt;30,TODAY()&lt;$C21)</formula>
    </cfRule>
  </conditionalFormatting>
  <conditionalFormatting sqref="C21">
    <cfRule type="cellIs" dxfId="189" priority="28" stopIfTrue="1" operator="lessThan">
      <formula>$B$2</formula>
    </cfRule>
  </conditionalFormatting>
  <conditionalFormatting sqref="C23">
    <cfRule type="expression" dxfId="188" priority="25">
      <formula>AND($C23-TODAY()&lt;30,TODAY()&lt;$C23)</formula>
    </cfRule>
  </conditionalFormatting>
  <conditionalFormatting sqref="C23">
    <cfRule type="cellIs" dxfId="187" priority="26" stopIfTrue="1" operator="lessThan">
      <formula>$B$2</formula>
    </cfRule>
  </conditionalFormatting>
  <conditionalFormatting sqref="F16">
    <cfRule type="cellIs" dxfId="186" priority="23" stopIfTrue="1" operator="lessThan">
      <formula>$B$2</formula>
    </cfRule>
  </conditionalFormatting>
  <conditionalFormatting sqref="F18">
    <cfRule type="cellIs" dxfId="185" priority="22" stopIfTrue="1" operator="lessThan">
      <formula>$B$2</formula>
    </cfRule>
  </conditionalFormatting>
  <conditionalFormatting sqref="F22">
    <cfRule type="cellIs" dxfId="184" priority="21" stopIfTrue="1" operator="lessThan">
      <formula>$B$2</formula>
    </cfRule>
  </conditionalFormatting>
  <conditionalFormatting sqref="F21">
    <cfRule type="cellIs" dxfId="183" priority="20" stopIfTrue="1" operator="lessThan">
      <formula>$B$2</formula>
    </cfRule>
  </conditionalFormatting>
  <conditionalFormatting sqref="F17">
    <cfRule type="cellIs" dxfId="182" priority="19" stopIfTrue="1" operator="lessThan">
      <formula>$B$2</formula>
    </cfRule>
  </conditionalFormatting>
  <conditionalFormatting sqref="B4:B14 E4:E14 B16:B23 E16:E23">
    <cfRule type="cellIs" dxfId="181" priority="18" stopIfTrue="1" operator="equal">
      <formula>"已过期"</formula>
    </cfRule>
  </conditionalFormatting>
  <conditionalFormatting sqref="A24:F24">
    <cfRule type="cellIs" dxfId="180" priority="14" stopIfTrue="1" operator="equal">
      <formula>"已过期"</formula>
    </cfRule>
  </conditionalFormatting>
  <conditionalFormatting sqref="F28">
    <cfRule type="expression" dxfId="179" priority="12">
      <formula>AND($E28-TODAY()&lt;30,TODAY()&lt;$E28)</formula>
    </cfRule>
  </conditionalFormatting>
  <conditionalFormatting sqref="F28">
    <cfRule type="cellIs" dxfId="178" priority="13" stopIfTrue="1" operator="lessThan">
      <formula>$B$2</formula>
    </cfRule>
  </conditionalFormatting>
  <conditionalFormatting sqref="F29">
    <cfRule type="expression" dxfId="177" priority="8" stopIfTrue="1">
      <formula>AND($E29-TODAY()&lt;30,TODAY()&lt;$E29)</formula>
    </cfRule>
  </conditionalFormatting>
  <conditionalFormatting sqref="F29">
    <cfRule type="cellIs" dxfId="176" priority="9" stopIfTrue="1" operator="lessThan">
      <formula>$B$2</formula>
    </cfRule>
  </conditionalFormatting>
  <conditionalFormatting sqref="B15">
    <cfRule type="cellIs" dxfId="175" priority="6" stopIfTrue="1" operator="equal">
      <formula>"已过期"</formula>
    </cfRule>
  </conditionalFormatting>
  <conditionalFormatting sqref="A15">
    <cfRule type="cellIs" dxfId="174" priority="5" stopIfTrue="1" operator="equal">
      <formula>"已过期"</formula>
    </cfRule>
  </conditionalFormatting>
  <conditionalFormatting sqref="C15">
    <cfRule type="expression" dxfId="173" priority="4">
      <formula>AND($C15-TODAY()&lt;30,TODAY()&lt;$C15)</formula>
    </cfRule>
  </conditionalFormatting>
  <conditionalFormatting sqref="E15">
    <cfRule type="cellIs" dxfId="172" priority="3" stopIfTrue="1" operator="equal">
      <formula>"已过期"</formula>
    </cfRule>
  </conditionalFormatting>
  <conditionalFormatting sqref="D15">
    <cfRule type="cellIs" dxfId="171" priority="2" stopIfTrue="1" operator="equal">
      <formula>"已过期"</formula>
    </cfRule>
  </conditionalFormatting>
  <conditionalFormatting sqref="F13">
    <cfRule type="cellIs" dxfId="17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149</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假设开发法</vt:lpstr>
      <vt:lpstr>收益法 (售楼处)</vt:lpstr>
      <vt:lpstr>收益法 (底商)</vt:lpstr>
      <vt:lpstr>收益法</vt:lpstr>
      <vt:lpstr>比较法-住宅 (2)</vt:lpstr>
      <vt:lpstr>比较法-住宅</vt:lpstr>
      <vt:lpstr>成本法 (元)</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住宅案例</vt:lpstr>
      <vt:lpstr>估价师及机构信息!Print_Area</vt:lpstr>
      <vt:lpstr>收益法!Print_Area</vt:lpstr>
      <vt:lpstr>'收益法 (底商)'!Print_Area</vt:lpstr>
      <vt:lpstr>'收益法 (售楼处)'!Print_Area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 (2)'!住宅朝向</vt:lpstr>
      <vt:lpstr>住宅朝向</vt:lpstr>
      <vt:lpstr>'比较法-住宅 (2)'!住宅房型</vt:lpstr>
      <vt:lpstr>住宅房型</vt:lpstr>
      <vt:lpstr>'比较法-住宅 (2)'!住宅公共部分装修</vt:lpstr>
      <vt:lpstr>住宅公共部分装修</vt:lpstr>
      <vt:lpstr>'比较法-住宅 (2)'!住宅基础设施水平</vt:lpstr>
      <vt:lpstr>住宅基础设施水平</vt:lpstr>
      <vt:lpstr>'比较法-住宅 (2)'!住宅建筑结构</vt:lpstr>
      <vt:lpstr>住宅建筑结构</vt:lpstr>
      <vt:lpstr>'比较法-住宅 (2)'!住宅建筑类型</vt:lpstr>
      <vt:lpstr>住宅建筑类型</vt:lpstr>
      <vt:lpstr>'比较法-住宅 (2)'!住宅建筑品质</vt:lpstr>
      <vt:lpstr>住宅建筑品质</vt:lpstr>
      <vt:lpstr>'比较法-住宅 (2)'!住宅交易情况</vt:lpstr>
      <vt:lpstr>住宅交易情况</vt:lpstr>
      <vt:lpstr>'比较法-住宅 (2)'!住宅楼层</vt:lpstr>
      <vt:lpstr>住宅楼层</vt:lpstr>
      <vt:lpstr>'比较法-住宅 (2)'!住宅内部装修</vt:lpstr>
      <vt:lpstr>住宅内部装修</vt:lpstr>
      <vt:lpstr>'比较法-住宅 (2)'!住宅物业管理</vt:lpstr>
      <vt:lpstr>住宅物业管理</vt:lpstr>
      <vt:lpstr>'比较法-住宅 (2)'!住宅用途</vt:lpstr>
      <vt:lpstr>住宅用途</vt:lpstr>
      <vt:lpstr>'比较法-住宅 (2)'!住宅主力户型面积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2018-03-07T08:45:35Z</dcterms:modified>
</cp:coreProperties>
</file>